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aca\Ceny prądu\2024 PoradniaOZE\"/>
    </mc:Choice>
  </mc:AlternateContent>
  <xr:revisionPtr revIDLastSave="0" documentId="13_ncr:1_{F443DB58-0520-447D-A389-21E7E1784141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Wyliczenia szczegółowe" sheetId="1" r:id="rId1"/>
    <sheet name="PotatOS" sheetId="12" state="hidden" r:id="rId2"/>
    <sheet name="Struktura rachunku" sheetId="2" r:id="rId3"/>
    <sheet name="Dane kontaktowe i źródła" sheetId="13" r:id="rId4"/>
    <sheet name="Koszt energii czynnej" sheetId="8" r:id="rId5"/>
    <sheet name="Składnik zmienny" sheetId="9" r:id="rId6"/>
    <sheet name="Składnik stały" sheetId="10" r:id="rId7"/>
    <sheet name="Opłata abonamentowa" sheetId="11" r:id="rId8"/>
    <sheet name="Opłaty handlowe" sheetId="7" r:id="rId9"/>
  </sheets>
  <calcPr calcId="191029" iterateCount="10" iterateDelta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C12" i="1" l="1"/>
  <c r="C11" i="1"/>
  <c r="E42" i="1"/>
  <c r="C42" i="1"/>
  <c r="D42" i="1"/>
  <c r="A42" i="1"/>
  <c r="A53" i="1" l="1"/>
  <c r="E55" i="1"/>
  <c r="F55" i="1" s="1"/>
  <c r="E24" i="12"/>
  <c r="A21" i="1"/>
  <c r="A25" i="1"/>
  <c r="D9" i="1"/>
  <c r="C9" i="1"/>
  <c r="D11" i="1"/>
  <c r="D10" i="1"/>
  <c r="D58" i="1" l="1"/>
  <c r="C43" i="1"/>
  <c r="C45" i="1"/>
  <c r="G76" i="1" s="1"/>
  <c r="H72" i="1"/>
  <c r="D68" i="1" l="1"/>
  <c r="D69" i="1"/>
  <c r="D59" i="1"/>
  <c r="D14" i="1"/>
  <c r="D76" i="1"/>
  <c r="H76" i="1"/>
  <c r="E76" i="1"/>
  <c r="F76" i="1"/>
  <c r="A3" i="2"/>
  <c r="G72" i="1"/>
  <c r="F72" i="1"/>
  <c r="E72" i="1"/>
  <c r="D72" i="1"/>
  <c r="D63" i="1"/>
  <c r="C3" i="2"/>
  <c r="C44" i="1"/>
  <c r="E43" i="1"/>
  <c r="B27" i="1"/>
  <c r="A27" i="1"/>
  <c r="B23" i="1"/>
  <c r="E23" i="1" s="1"/>
  <c r="A23" i="1"/>
  <c r="E20" i="1"/>
  <c r="C20" i="1"/>
  <c r="A12" i="1" l="1"/>
  <c r="A34" i="1"/>
  <c r="A35" i="1"/>
  <c r="A11" i="1"/>
  <c r="A36" i="1"/>
  <c r="D66" i="1"/>
  <c r="E56" i="1"/>
  <c r="E58" i="1" s="1"/>
  <c r="E59" i="1" s="1"/>
  <c r="G55" i="1"/>
  <c r="H75" i="1"/>
  <c r="G75" i="1"/>
  <c r="F75" i="1"/>
  <c r="D75" i="1"/>
  <c r="E75" i="1"/>
  <c r="D23" i="1"/>
  <c r="D27" i="1"/>
  <c r="C27" i="1"/>
  <c r="E27" i="1"/>
  <c r="C23" i="1"/>
  <c r="D74" i="1"/>
  <c r="E47" i="1"/>
  <c r="H74" i="1"/>
  <c r="B21" i="1"/>
  <c r="E21" i="1" s="1"/>
  <c r="D47" i="1"/>
  <c r="B25" i="1"/>
  <c r="B22" i="1"/>
  <c r="E22" i="1" s="1"/>
  <c r="G74" i="1"/>
  <c r="A26" i="1"/>
  <c r="B26" i="1"/>
  <c r="A22" i="1"/>
  <c r="C47" i="1"/>
  <c r="F74" i="1"/>
  <c r="E74" i="1"/>
  <c r="A10" i="1"/>
  <c r="D70" i="1"/>
  <c r="D71" i="1" s="1"/>
  <c r="D73" i="1" s="1"/>
  <c r="D67" i="1"/>
  <c r="D36" i="1" l="1"/>
  <c r="E36" i="1"/>
  <c r="C36" i="1"/>
  <c r="F56" i="1"/>
  <c r="F58" i="1" s="1"/>
  <c r="F59" i="1" s="1"/>
  <c r="E63" i="1"/>
  <c r="E25" i="1"/>
  <c r="C25" i="1"/>
  <c r="D25" i="1"/>
  <c r="C26" i="1"/>
  <c r="E26" i="1"/>
  <c r="D26" i="1"/>
  <c r="G56" i="1"/>
  <c r="G63" i="1" s="1"/>
  <c r="H55" i="1"/>
  <c r="H56" i="1" s="1"/>
  <c r="H63" i="1" s="1"/>
  <c r="C22" i="1"/>
  <c r="D21" i="1"/>
  <c r="C21" i="1"/>
  <c r="D22" i="1"/>
  <c r="E70" i="1"/>
  <c r="E71" i="1" s="1"/>
  <c r="E73" i="1" s="1"/>
  <c r="E68" i="1"/>
  <c r="E69" i="1"/>
  <c r="E67" i="1"/>
  <c r="E66" i="1"/>
  <c r="C35" i="1" l="1"/>
  <c r="D35" i="1"/>
  <c r="E35" i="1"/>
  <c r="E34" i="1"/>
  <c r="C34" i="1"/>
  <c r="D34" i="1"/>
  <c r="F63" i="1"/>
  <c r="D6" i="1"/>
  <c r="D83" i="1" s="1"/>
  <c r="E24" i="1"/>
  <c r="C28" i="1"/>
  <c r="E28" i="1"/>
  <c r="D24" i="1"/>
  <c r="C24" i="1"/>
  <c r="B6" i="2"/>
  <c r="H58" i="1"/>
  <c r="H59" i="1" s="1"/>
  <c r="G58" i="1"/>
  <c r="G59" i="1" s="1"/>
  <c r="D28" i="1"/>
  <c r="F70" i="1"/>
  <c r="F71" i="1" s="1"/>
  <c r="F73" i="1" s="1"/>
  <c r="F68" i="1"/>
  <c r="F69" i="1"/>
  <c r="F67" i="1"/>
  <c r="F66" i="1"/>
  <c r="D65" i="1" l="1"/>
  <c r="D77" i="1" s="1"/>
  <c r="E65" i="1"/>
  <c r="D60" i="1"/>
  <c r="E60" i="1"/>
  <c r="F60" i="1"/>
  <c r="G60" i="1"/>
  <c r="H60" i="1"/>
  <c r="F65" i="1"/>
  <c r="F77" i="1" s="1"/>
  <c r="C6" i="2"/>
  <c r="G66" i="1"/>
  <c r="G70" i="1"/>
  <c r="G71" i="1" s="1"/>
  <c r="G73" i="1" s="1"/>
  <c r="G68" i="1"/>
  <c r="H66" i="1"/>
  <c r="H70" i="1"/>
  <c r="H71" i="1" s="1"/>
  <c r="H73" i="1" s="1"/>
  <c r="H68" i="1"/>
  <c r="H69" i="1"/>
  <c r="H67" i="1"/>
  <c r="G69" i="1"/>
  <c r="G67" i="1"/>
  <c r="G61" i="1" l="1"/>
  <c r="G62" i="1" s="1"/>
  <c r="G64" i="1" s="1"/>
  <c r="H61" i="1"/>
  <c r="H62" i="1" s="1"/>
  <c r="E61" i="1"/>
  <c r="F61" i="1"/>
  <c r="F62" i="1" s="1"/>
  <c r="F64" i="1" s="1"/>
  <c r="D61" i="1"/>
  <c r="F78" i="1"/>
  <c r="F79" i="1" s="1"/>
  <c r="D78" i="1"/>
  <c r="D79" i="1" s="1"/>
  <c r="C5" i="2"/>
  <c r="E77" i="1"/>
  <c r="H65" i="1"/>
  <c r="H77" i="1" s="1"/>
  <c r="G65" i="1"/>
  <c r="G77" i="1" s="1"/>
  <c r="B5" i="2"/>
  <c r="H64" i="1" l="1"/>
  <c r="B7" i="2"/>
  <c r="E62" i="1"/>
  <c r="F80" i="1"/>
  <c r="D62" i="1"/>
  <c r="H78" i="1"/>
  <c r="H79" i="1" s="1"/>
  <c r="G78" i="1"/>
  <c r="G79" i="1" s="1"/>
  <c r="G80" i="1" s="1"/>
  <c r="E78" i="1"/>
  <c r="C7" i="2" s="1"/>
  <c r="H80" i="1" l="1"/>
  <c r="E64" i="1"/>
  <c r="C4" i="2" s="1"/>
  <c r="D64" i="1"/>
  <c r="D80" i="1" s="1"/>
  <c r="E79" i="1"/>
  <c r="E80" i="1" l="1"/>
  <c r="E81" i="1" s="1"/>
  <c r="B4" i="2"/>
  <c r="G81" i="1"/>
  <c r="D81" i="1"/>
  <c r="F81" i="1"/>
  <c r="H81" i="1"/>
</calcChain>
</file>

<file path=xl/sharedStrings.xml><?xml version="1.0" encoding="utf-8"?>
<sst xmlns="http://schemas.openxmlformats.org/spreadsheetml/2006/main" count="841" uniqueCount="192">
  <si>
    <r>
      <rPr>
        <sz val="9"/>
        <color rgb="FFFAA51A"/>
        <rFont val="G Centra"/>
        <charset val="238"/>
      </rPr>
      <t xml:space="preserve">1. wpisuj dane w polach na </t>
    </r>
    <r>
      <rPr>
        <b/>
        <sz val="9"/>
        <color rgb="FFFAA51A"/>
        <rFont val="G Centra"/>
        <charset val="238"/>
      </rPr>
      <t>żółto</t>
    </r>
  </si>
  <si>
    <t>Dane ogólne</t>
  </si>
  <si>
    <t>Roczne zużycie energii</t>
  </si>
  <si>
    <t>Roczna produkcja z 1 kWp</t>
  </si>
  <si>
    <t>kWh</t>
  </si>
  <si>
    <t>Twój limit niższej ceny energii</t>
  </si>
  <si>
    <t>Dystrybutor</t>
  </si>
  <si>
    <t>Wybierz z listy rozwijanej</t>
  </si>
  <si>
    <t>Sprzedawca</t>
  </si>
  <si>
    <t>Tauron</t>
  </si>
  <si>
    <t>Taryfa</t>
  </si>
  <si>
    <t>G11</t>
  </si>
  <si>
    <t>Wiersz używany przy taryfie G12 i G13</t>
  </si>
  <si>
    <t>Wiersz używany tylko przy taryfie G13</t>
  </si>
  <si>
    <t>Układ jednofazowy / trójfazowy</t>
  </si>
  <si>
    <t>Okres rozliczeniowy</t>
  </si>
  <si>
    <t>2-miesięczny</t>
  </si>
  <si>
    <t>Do limitu</t>
  </si>
  <si>
    <t>Powyżej limitu</t>
  </si>
  <si>
    <t>zł/kWh</t>
  </si>
  <si>
    <t>normalizer</t>
  </si>
  <si>
    <t>Opłata jakościowa</t>
  </si>
  <si>
    <t>Opłata OZE</t>
  </si>
  <si>
    <t>Opłata kogeneracyjna</t>
  </si>
  <si>
    <t>Akcyza</t>
  </si>
  <si>
    <t>Podatek VAT</t>
  </si>
  <si>
    <t>%</t>
  </si>
  <si>
    <t>Opłaty stałe – bez fotowoltaiki</t>
  </si>
  <si>
    <t>Opłata handlowa</t>
  </si>
  <si>
    <t>Cena sprzedaży energii</t>
  </si>
  <si>
    <t>zł na miesiąc</t>
  </si>
  <si>
    <t>Opłata handlowa nie jest zatwierdzana przez Urząd Regulacji Energetyki, ani przez Rząd. Dla dokładności powinieneś sam wpisać sumę, którą masz na fakturze.</t>
  </si>
  <si>
    <t>Opłata abonamentowa</t>
  </si>
  <si>
    <t>Opłata przejściowa</t>
  </si>
  <si>
    <t>Opłata mocowa</t>
  </si>
  <si>
    <t>Opłaty stałe brutto</t>
  </si>
  <si>
    <t>Dane fotowoltaiki</t>
  </si>
  <si>
    <t>kWh (na podst. PVGIS)</t>
  </si>
  <si>
    <t>Bez PV</t>
  </si>
  <si>
    <t>Z PV</t>
  </si>
  <si>
    <t>Więcej PV</t>
  </si>
  <si>
    <t>Z PV i magazynem energii</t>
  </si>
  <si>
    <t>Roczna produkcja z fotowoltaiki [kWh]</t>
  </si>
  <si>
    <t>Autokonsumpcja</t>
  </si>
  <si>
    <t>Zyski ze sprzedaży energii z PV</t>
  </si>
  <si>
    <t>Opłata sieciowa zmienna (dystrybucja)</t>
  </si>
  <si>
    <t>Średnie zużycie miesięczne</t>
  </si>
  <si>
    <t>Po ilu miesiącach przekracza się limit</t>
  </si>
  <si>
    <t>Opłata sieciowa stała</t>
  </si>
  <si>
    <t>Roczne rachunki za prąd</t>
  </si>
  <si>
    <t>Wpływ fotowoltaiki:</t>
  </si>
  <si>
    <t>Energia czynna</t>
  </si>
  <si>
    <t>- Fotowoltaika USUWA tę opłatę, a czasami nawet zapewnia nadwyżkę</t>
  </si>
  <si>
    <t>- Fotowoltaika ma WYRAŹNY BEZPOŚREDNI wpływ na tę opłatę</t>
  </si>
  <si>
    <t>- Fotowoltaika NIE MA BEZPOŚREDNIEGO WPŁYWU na tę opłatę</t>
  </si>
  <si>
    <t>Enea</t>
  </si>
  <si>
    <t>Energa</t>
  </si>
  <si>
    <t>PGE</t>
  </si>
  <si>
    <t>Stoen</t>
  </si>
  <si>
    <t>CENA MAX decyzją rządu</t>
  </si>
  <si>
    <t>G12 szczyt</t>
  </si>
  <si>
    <t>G12 poza szczytem</t>
  </si>
  <si>
    <t>G12w szczyt</t>
  </si>
  <si>
    <t>G12w poza szczytem</t>
  </si>
  <si>
    <t>G13 szczyt przed poł</t>
  </si>
  <si>
    <t>G13 szczyt po poł</t>
  </si>
  <si>
    <t>G13 poza szczytem</t>
  </si>
  <si>
    <t>G12r szczyt</t>
  </si>
  <si>
    <t>G12r poza szczytem</t>
  </si>
  <si>
    <t>G12n szczyt</t>
  </si>
  <si>
    <t>G12n poza szczytem</t>
  </si>
  <si>
    <t>G11p</t>
  </si>
  <si>
    <t>G12p szczyt</t>
  </si>
  <si>
    <t>G12p poza szczytem</t>
  </si>
  <si>
    <t>G12as szczyt</t>
  </si>
  <si>
    <t>G12as poza szczytem</t>
  </si>
  <si>
    <t>G11 jednofazowy</t>
  </si>
  <si>
    <t>G11 trójfazowy</t>
  </si>
  <si>
    <t>G12 jednofazowy</t>
  </si>
  <si>
    <t>G12 trójfazowy</t>
  </si>
  <si>
    <t>G12w jednofazowy</t>
  </si>
  <si>
    <t>G12w trójfazowy</t>
  </si>
  <si>
    <t>G12as jednofazowy</t>
  </si>
  <si>
    <t>G12as trójfazowy</t>
  </si>
  <si>
    <t>G11p jednofazowy</t>
  </si>
  <si>
    <t>G11p trójfazowy</t>
  </si>
  <si>
    <t>G12p jednofazowy</t>
  </si>
  <si>
    <t>G12p trójfazowy</t>
  </si>
  <si>
    <t>G12r jednofazowy</t>
  </si>
  <si>
    <t>G12r trójfazowy</t>
  </si>
  <si>
    <t>G12n jednofazowy</t>
  </si>
  <si>
    <t>G12n trójfazowy</t>
  </si>
  <si>
    <t>G13 jednofazowy</t>
  </si>
  <si>
    <t>G13 trójfazowy</t>
  </si>
  <si>
    <t>1-miesięczny</t>
  </si>
  <si>
    <t>zły okres rozliczeniowy</t>
  </si>
  <si>
    <t>6-miesięczny</t>
  </si>
  <si>
    <t>12-miesięczny</t>
  </si>
  <si>
    <t>zdalny odczyt 1-miesięczny</t>
  </si>
  <si>
    <t>zdalny odczyt 2-miesięczny</t>
  </si>
  <si>
    <t>G12p</t>
  </si>
  <si>
    <t>Gdzie znaleźć wysokość opłaty handlowej?</t>
  </si>
  <si>
    <t>Link</t>
  </si>
  <si>
    <t>https://www.enea.pl/dladomu/obsluga_klienta_i_kontakt/2023/taryfa-g-tpa_od-01.01.2023-wraz-z-inf-dodatkowa-o-cenach-ustawowych.pdf</t>
  </si>
  <si>
    <t>https://www.google.com/url?sa=t&amp;rct=j&amp;q=&amp;esrc=s&amp;source=web&amp;cd=&amp;cad=rja&amp;uact=8&amp;ved=2ahUKEwjKnt2Sx7z8AhXWUXcKHR8YDq0QFnoECAkQAQ&amp;url=https%3A%2F%2Fwww.energa.pl%2Fdam%2Fjcr%3Abd64664d-e899-4dd6-9b3c-e16d762fcc7d%2FRegulamin%2520Oferty%2520Podstawowej%25202023%2520obowi%25C4%2585zuj%25C4%2585cy%2520od%25201%2520lipca%25202022.pdf&amp;usg=AOvVaw3F5aKLStMQFwR31mN9ePze</t>
  </si>
  <si>
    <t>20-59 zł</t>
  </si>
  <si>
    <t>https://www.google.com/url?sa=t&amp;rct=j&amp;q=&amp;esrc=s&amp;source=web&amp;cd=&amp;ved=2ahUKEwjjpbr-xbz8AhXN87sIHYbKBF0QFnoECBcQAQ&amp;url=https%3A%2F%2Fwww.tauron.pl%2F-%2Fmedia%2Fformularze-i-wnioski%2Fpdf%2Fwoz-pzo%2Fts%2Fts-gd-woz-wniosek-o-zawarcie-umowy-e.ashx&amp;usg=AOvVaw1cV458LIQxByaQtR_5XU-A</t>
  </si>
  <si>
    <t>https://www.google.com/url?sa=t&amp;rct=j&amp;q=&amp;esrc=s&amp;source=web&amp;cd=&amp;cad=rja&amp;uact=8&amp;ved=2ahUKEwiGk-_9xLz8AhUf8LsIHSLkCAoQFnoECCIQAQ&amp;url=https%3A%2F%2Fwww.gkpge.pl%2Fcontent%2Fdownload%2F43ed98a0b92ebb379c4cd43bb38ee1fe%2Ffile%2FCennik%2520taryfowy%2520energii%2520elektrycznej%2520dla%2520Odbiorc%25C3%25B3w%2520z%2520grup%2520taryfowych%2520G%2C%2520spoza%2520obszaru%2520PGE%2520Dystrybucja%2520S.A.%2C%2520obowi%25C4%2585zuj%25C4%2585cy%2520od%25201.01.2023%2520r..pdf%3FinLanguage%3Dpol-PL%26version%3D3%26contentId%3D107982&amp;usg=AOvVaw1pmpT6R6QQic9YLNaVopkD</t>
  </si>
  <si>
    <r>
      <rPr>
        <sz val="9"/>
        <color rgb="FF0B274B"/>
        <rFont val="Arial"/>
        <family val="2"/>
        <charset val="238"/>
      </rPr>
      <t>Jak korzystać:</t>
    </r>
    <r>
      <rPr>
        <sz val="9"/>
        <color rgb="FF1B2F51"/>
        <rFont val="Arial"/>
        <family val="2"/>
        <charset val="238"/>
      </rPr>
      <t xml:space="preserve">
</t>
    </r>
    <r>
      <rPr>
        <sz val="9"/>
        <color rgb="FFFB9543"/>
        <rFont val="Arial"/>
        <family val="2"/>
        <charset val="238"/>
      </rPr>
      <t>1. wpisuj dane w polach na żółto</t>
    </r>
    <r>
      <rPr>
        <sz val="9"/>
        <color rgb="FFFAA51A"/>
        <rFont val="Arial"/>
        <family val="2"/>
        <charset val="238"/>
      </rPr>
      <t xml:space="preserve">
</t>
    </r>
    <r>
      <rPr>
        <sz val="9"/>
        <color rgb="FF0B274B"/>
        <rFont val="Arial"/>
        <family val="2"/>
        <charset val="238"/>
      </rPr>
      <t>2. odczytuj wynik z pól na niebiesko</t>
    </r>
    <r>
      <rPr>
        <sz val="9"/>
        <color rgb="FF1B2F51"/>
        <rFont val="Arial"/>
        <family val="2"/>
        <charset val="238"/>
      </rPr>
      <t xml:space="preserve">
</t>
    </r>
  </si>
  <si>
    <r>
      <rPr>
        <sz val="9"/>
        <color rgb="FF0EA5C3"/>
        <rFont val="G Centra"/>
        <charset val="238"/>
      </rPr>
      <t xml:space="preserve">2. odczytuj wynik z pól na </t>
    </r>
    <r>
      <rPr>
        <b/>
        <sz val="9"/>
        <color rgb="FF0EA5C3"/>
        <rFont val="G Centra"/>
        <charset val="238"/>
      </rPr>
      <t>niebiesko</t>
    </r>
  </si>
  <si>
    <t>Od 1 lipca 2024</t>
  </si>
  <si>
    <t>Do 30 czerwca 2024</t>
  </si>
  <si>
    <t>Cena do limitu do lipca 2024</t>
  </si>
  <si>
    <t>Cena powyżej limitu do lipca 2024</t>
  </si>
  <si>
    <t>Cena od lipca 2024</t>
  </si>
  <si>
    <t>Z PV i inteligentnym magazynem energii</t>
  </si>
  <si>
    <t>Czy półroczne zużycie wyższe od limitu?</t>
  </si>
  <si>
    <t>zł/kWh (na podst. pse.pl)</t>
  </si>
  <si>
    <t>Dzięki instalacji OZE oszczędzasz</t>
  </si>
  <si>
    <t>← Ta sekcja jest opcjonalna. Nie musisz jej wypełniać.</t>
  </si>
  <si>
    <t>Średnia cena sprzedaży energii</t>
  </si>
  <si>
    <r>
      <rPr>
        <sz val="14"/>
        <color rgb="FF0EA5C3"/>
        <rFont val="G Centra"/>
        <charset val="238"/>
      </rPr>
      <t xml:space="preserve">2. odczytuj wynik z pól na </t>
    </r>
    <r>
      <rPr>
        <b/>
        <sz val="14"/>
        <color rgb="FF0EA5C3"/>
        <rFont val="G Centra"/>
        <charset val="238"/>
      </rPr>
      <t>niebiesko</t>
    </r>
  </si>
  <si>
    <t>Cena za 1 kWh</t>
  </si>
  <si>
    <t>Do 30 czerwca 2024 stosuje się limit cen na zablokowanym poziomie z 2022 r. Powyżej limitu ceny zablokowane na poziomie z 2023. Od 1 lipca 2024 ceny są uwolnione i rynkowe.</t>
  </si>
  <si>
    <t>Odczytaj z faktury</t>
  </si>
  <si>
    <t>ZŁA TARYFA</t>
  </si>
  <si>
    <t>ZŁY SPRZEDAWCA</t>
  </si>
  <si>
    <t>Opłaty stałe</t>
  </si>
  <si>
    <t>1500 kWh w standardzie, 1800 dla rodzin z osobami z niepełnosprawnościami, 2000 dla rolników i dla rodzin z Kartą Dużej Rodziny</t>
  </si>
  <si>
    <t>Dodatkowe opłaty zmienne</t>
  </si>
  <si>
    <t>Rachunki za prąd dla nowych prosumentów (zasady 2024)</t>
  </si>
  <si>
    <t>Do 30 czerwca 2024 powyżej limitu</t>
  </si>
  <si>
    <t>Do 30 czerwca 2024 do limitu</t>
  </si>
  <si>
    <t>Opłata abonamentowa dla taryf G</t>
  </si>
  <si>
    <t>Składnik stały stawki sieciowej taryf G</t>
  </si>
  <si>
    <t>Koszt energii czynnej taryf G</t>
  </si>
  <si>
    <t>Lista dostępnych opcji sprzedawca prądu</t>
  </si>
  <si>
    <t>Lista dostępnych opcji Taryfa</t>
  </si>
  <si>
    <t>Lista dostępnych opcji okres rozliczeniowy</t>
  </si>
  <si>
    <t>Lista dostępnych opcji dystrybutor prądu</t>
  </si>
  <si>
    <t>G12n</t>
  </si>
  <si>
    <t>G12w</t>
  </si>
  <si>
    <t>Taryfy:</t>
  </si>
  <si>
    <t>G12</t>
  </si>
  <si>
    <t>G12r</t>
  </si>
  <si>
    <t>G13</t>
  </si>
  <si>
    <t>Dostępne okresy rozliczeniowe</t>
  </si>
  <si>
    <t>Kto</t>
  </si>
  <si>
    <t>1-miesięczny;2-miesięczny;6-miesięczny;12-miesięczny;G11p;G12p</t>
  </si>
  <si>
    <t>1-miesięczny;2-miesięczny;zdalny odczyt 1-miesięczny; zdalny odczyt 2-miesięczny</t>
  </si>
  <si>
    <t>1-miesięczny;2-miesięczny;6-miesięczny</t>
  </si>
  <si>
    <t>1-miesięczny;2-miesięczny;6-miesięczny;12-miesięczny</t>
  </si>
  <si>
    <t>Wielkość instalacji PV [kWp]</t>
  </si>
  <si>
    <t>Bez fotowoltaiki</t>
  </si>
  <si>
    <r>
      <rPr>
        <b/>
        <sz val="10"/>
        <color rgb="FFFB9543"/>
        <rFont val="G Centra"/>
        <charset val="238"/>
      </rPr>
      <t xml:space="preserve">Autor: </t>
    </r>
    <r>
      <rPr>
        <sz val="10"/>
        <color rgb="FF0B274B"/>
        <rFont val="G Centra"/>
        <charset val="238"/>
      </rPr>
      <t>Dawid Kaczmarczyk</t>
    </r>
  </si>
  <si>
    <r>
      <t xml:space="preserve">Pomysłodawca: </t>
    </r>
    <r>
      <rPr>
        <sz val="10"/>
        <color rgb="FF0B274B"/>
        <rFont val="G Centra"/>
        <charset val="238"/>
      </rPr>
      <t>Krystian Stec</t>
    </r>
    <r>
      <rPr>
        <b/>
        <sz val="10"/>
        <color rgb="FFFB9543"/>
        <rFont val="G Centra"/>
        <charset val="238"/>
      </rPr>
      <t>, prezes firmy InteEnergia</t>
    </r>
  </si>
  <si>
    <r>
      <t xml:space="preserve">Wsparcie merytoryczne: </t>
    </r>
    <r>
      <rPr>
        <sz val="10"/>
        <color rgb="FF0B274B"/>
        <rFont val="G Centra"/>
        <charset val="238"/>
      </rPr>
      <t>Krystian Stec</t>
    </r>
  </si>
  <si>
    <t>Masz sugestie, pomysły lub propozycje? Chcesz zostać sponsorem? Potrzebujesz pomocy?</t>
  </si>
  <si>
    <t>Napisz do mnie!</t>
  </si>
  <si>
    <t>dawkaczradiatus@gmail.com</t>
  </si>
  <si>
    <t>https://www.linkedin.com/in/dawid-kaczmarczyk-945246276/</t>
  </si>
  <si>
    <t>https://poradniaoze.com/</t>
  </si>
  <si>
    <t>Jak wesprzeć autora?</t>
  </si>
  <si>
    <t xml:space="preserve">Jeśli to narzędzie jest dla Ciebie wartościowe, rozważ przekazanie darowizny w formie przelewu lub przez poniższy link Paypal. Ewentualnie umów się ze mną na kawę, zapraszam do Lublina, bywam też często w Poznaniu :) </t>
  </si>
  <si>
    <t>Przelew</t>
  </si>
  <si>
    <t>27 1090 2688 0000 0001 5326 5948</t>
  </si>
  <si>
    <t>Sandander</t>
  </si>
  <si>
    <t>Dawid Kaczmarczyk ul. Jeleniogórska 5/2 59-623 Lubomierz</t>
  </si>
  <si>
    <t>Paypal</t>
  </si>
  <si>
    <t>https://www.paypal.com/donate/?hosted_button_id=QRHRFCXLET73E</t>
  </si>
  <si>
    <t>Główne źródło: Zatwierdzone taryfy przez Urząd Regulacji Energetyki</t>
  </si>
  <si>
    <r>
      <t xml:space="preserve">W kolejnych wersjach: </t>
    </r>
    <r>
      <rPr>
        <sz val="10"/>
        <color rgb="FF0B274B"/>
        <rFont val="G Centra"/>
        <charset val="238"/>
      </rPr>
      <t>Profil produkcji z fotowoltaiki, profil poboru energii</t>
    </r>
  </si>
  <si>
    <r>
      <t xml:space="preserve">Opis: </t>
    </r>
    <r>
      <rPr>
        <sz val="10"/>
        <color rgb="FF0B274B"/>
        <rFont val="G Centra"/>
        <charset val="238"/>
      </rPr>
      <t>Narzędzie do szacowania rachunków za prąd za rok 2024. Wyniki można zmodyfikować o fotowoltaikę.</t>
    </r>
  </si>
  <si>
    <t>← Do połowy 2024 prosumenci sprzedają energię po miesięcznej rynkowej cenie energii, od połowy po godzinowej rynkowej cenie energii. To narzędzie, z jedną zaledwie jedną średnią ceną, daje niedoskonały, ogólny obraz sytuacji. Obecnie tworzę nowe, bardziej precyzyjne narzędzie.</t>
  </si>
  <si>
    <t>Rachunek za prąd (zasady 2024)</t>
  </si>
  <si>
    <t>Koszt energii czynnej netto</t>
  </si>
  <si>
    <t>Koszt energii czynnej brutto</t>
  </si>
  <si>
    <t>Dla sprzedawcy prądu</t>
  </si>
  <si>
    <t>Dla dystrybutora, dodatkowe opłaty zmienne</t>
  </si>
  <si>
    <t>Dla dystrybutora, opłaty stałe</t>
  </si>
  <si>
    <t>Koszt dla dystrybutora netto</t>
  </si>
  <si>
    <t>Wartość podatku VAT dla dystrybutora</t>
  </si>
  <si>
    <t>Wartość podatku VAT dla sprzedawcy</t>
  </si>
  <si>
    <t>Ostateczna kwota dla dystrybutora brutto</t>
  </si>
  <si>
    <t>Ostateczna kwota dla sprzedawcy prądu</t>
  </si>
  <si>
    <t>Cena od 1 lipca 2024</t>
  </si>
  <si>
    <t>Cena do 30 czerwca 2024 powyżej limitu</t>
  </si>
  <si>
    <t>Cena do 30 czerwca 2024 do limitu</t>
  </si>
  <si>
    <t>Składnik zmienny stawki sieciowej dla taryf G</t>
  </si>
  <si>
    <t>Roczny pobór energii [kWh]</t>
  </si>
  <si>
    <t>trójfazowy</t>
  </si>
  <si>
    <t>Max cena decyzją rządu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</si>
</sst>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zł&quot;_-;\-* #,##0.00\ &quot;zł&quot;_-;_-* &quot;-&quot;??\ &quot;zł&quot;_-;_-@_-"/>
    <numFmt numFmtId="164" formatCode="&quot;PRAWDA&quot;;&quot;PRAWDA&quot;;&quot;FAŁSZ&quot;"/>
    <numFmt numFmtId="165" formatCode="#,##0&quot;zł&quot;"/>
    <numFmt numFmtId="166" formatCode="#,##0.00\ [$zł-415];[Red]\-#,##0.00\ [$zł-415]"/>
    <numFmt numFmtId="167" formatCode="0;[Green]\-0"/>
    <numFmt numFmtId="168" formatCode="#,##0.00\ [$zł-415];[Green]\-#,##0.00\ [$zł-415]"/>
    <numFmt numFmtId="169" formatCode="0.0000"/>
  </numFmts>
  <fonts count="51" x14ac:knownFonts="1">
    <font>
      <sz val="10"/>
      <color rgb="FF000000"/>
      <name val="Arial"/>
      <charset val="238"/>
    </font>
    <font>
      <b/>
      <sz val="13"/>
      <color rgb="FF1B2F51"/>
      <name val="G Centra"/>
      <charset val="238"/>
    </font>
    <font>
      <sz val="9"/>
      <color rgb="FF1B2F51"/>
      <name val="Arial"/>
      <family val="2"/>
      <charset val="238"/>
    </font>
    <font>
      <sz val="9"/>
      <color rgb="FFFAA51A"/>
      <name val="Arial"/>
      <family val="2"/>
      <charset val="238"/>
    </font>
    <font>
      <b/>
      <sz val="15"/>
      <color rgb="FF1B2F51"/>
      <name val="G Centra"/>
      <charset val="238"/>
    </font>
    <font>
      <sz val="9"/>
      <color rgb="FFFAA51A"/>
      <name val="G Centra"/>
      <charset val="238"/>
    </font>
    <font>
      <b/>
      <sz val="9"/>
      <color rgb="FFFAA51A"/>
      <name val="G Centra"/>
      <charset val="238"/>
    </font>
    <font>
      <b/>
      <sz val="11"/>
      <color rgb="FF1B2F51"/>
      <name val="G Centra"/>
      <charset val="238"/>
    </font>
    <font>
      <sz val="9"/>
      <color rgb="FF1B2F51"/>
      <name val="G Centra"/>
      <charset val="238"/>
    </font>
    <font>
      <b/>
      <sz val="9"/>
      <color rgb="FF1B2F51"/>
      <name val="G Centra"/>
      <charset val="238"/>
    </font>
    <font>
      <b/>
      <sz val="10"/>
      <color rgb="FF1B2F51"/>
      <name val="G Centra"/>
      <charset val="238"/>
    </font>
    <font>
      <b/>
      <sz val="10"/>
      <color rgb="FF1B2F51"/>
      <name val="G Centra"/>
      <charset val="238"/>
    </font>
    <font>
      <u/>
      <sz val="9"/>
      <color rgb="FF1B2F51"/>
      <name val="G Centra"/>
      <charset val="238"/>
    </font>
    <font>
      <sz val="8"/>
      <color rgb="FF1B2F51"/>
      <name val="G Centra"/>
      <charset val="238"/>
    </font>
    <font>
      <sz val="9"/>
      <color rgb="FF000000"/>
      <name val="Arial"/>
      <family val="2"/>
      <charset val="238"/>
    </font>
    <font>
      <sz val="9"/>
      <color rgb="FF000000"/>
      <name val="G Centra"/>
      <charset val="238"/>
    </font>
    <font>
      <sz val="11"/>
      <color rgb="FF1B2F51"/>
      <name val="G Centra"/>
      <charset val="238"/>
    </font>
    <font>
      <sz val="11"/>
      <color rgb="FF000000"/>
      <name val="G Centra"/>
      <charset val="238"/>
    </font>
    <font>
      <sz val="7"/>
      <color rgb="FF1B2F51"/>
      <name val="G Centra"/>
      <charset val="238"/>
    </font>
    <font>
      <sz val="11"/>
      <color rgb="FF000000"/>
      <name val="Arial"/>
      <family val="2"/>
      <charset val="238"/>
    </font>
    <font>
      <sz val="9"/>
      <color rgb="FFFB9543"/>
      <name val="Arial"/>
      <family val="2"/>
      <charset val="238"/>
    </font>
    <font>
      <sz val="9"/>
      <color rgb="FF0B274B"/>
      <name val="Arial"/>
      <family val="2"/>
      <charset val="238"/>
    </font>
    <font>
      <b/>
      <sz val="13"/>
      <color rgb="FF0B274B"/>
      <name val="G Centra"/>
      <charset val="238"/>
    </font>
    <font>
      <sz val="9"/>
      <color rgb="FF0B274B"/>
      <name val="G Centra"/>
      <charset val="238"/>
    </font>
    <font>
      <b/>
      <sz val="11"/>
      <color rgb="FF0EA5C3"/>
      <name val="G Centra"/>
      <charset val="238"/>
    </font>
    <font>
      <sz val="9"/>
      <color rgb="FF0EA5C3"/>
      <name val="G Centra"/>
      <charset val="238"/>
    </font>
    <font>
      <b/>
      <sz val="9"/>
      <color rgb="FF0EA5C3"/>
      <name val="G Centra"/>
      <charset val="238"/>
    </font>
    <font>
      <b/>
      <sz val="9"/>
      <color rgb="FFFB9543"/>
      <name val="G Centra"/>
      <charset val="238"/>
    </font>
    <font>
      <i/>
      <sz val="9"/>
      <color rgb="FF0B274B"/>
      <name val="G Centra"/>
      <charset val="238"/>
    </font>
    <font>
      <b/>
      <sz val="10"/>
      <color rgb="FF0B274B"/>
      <name val="G Centra"/>
      <charset val="238"/>
    </font>
    <font>
      <sz val="10"/>
      <color rgb="FF0B274B"/>
      <name val="G Centra"/>
      <charset val="238"/>
    </font>
    <font>
      <sz val="10"/>
      <color rgb="FF000000"/>
      <name val="Arial"/>
      <family val="2"/>
      <charset val="238"/>
    </font>
    <font>
      <sz val="8"/>
      <color rgb="FF0B274B"/>
      <name val="G Centra"/>
      <charset val="238"/>
    </font>
    <font>
      <b/>
      <sz val="14"/>
      <color rgb="FF0EA5C3"/>
      <name val="G Centra"/>
      <charset val="238"/>
    </font>
    <font>
      <sz val="14"/>
      <color rgb="FF0EA5C3"/>
      <name val="G Centra"/>
      <charset val="238"/>
    </font>
    <font>
      <b/>
      <sz val="9"/>
      <color theme="0"/>
      <name val="G Centra"/>
      <charset val="238"/>
    </font>
    <font>
      <b/>
      <i/>
      <sz val="9"/>
      <color rgb="FFFF0000"/>
      <name val="G Centra"/>
      <charset val="238"/>
    </font>
    <font>
      <sz val="10"/>
      <color rgb="FF0B274B"/>
      <name val="Arial"/>
      <family val="2"/>
      <charset val="238"/>
    </font>
    <font>
      <u/>
      <sz val="10"/>
      <color theme="10"/>
      <name val="Arial"/>
      <charset val="238"/>
    </font>
    <font>
      <b/>
      <sz val="9"/>
      <color rgb="FFFF0000"/>
      <name val="G Centra"/>
      <charset val="238"/>
    </font>
    <font>
      <b/>
      <sz val="10"/>
      <name val="G Centra"/>
      <charset val="238"/>
    </font>
    <font>
      <b/>
      <sz val="1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9"/>
      <color rgb="FF0B274B"/>
      <name val="G Centra"/>
      <charset val="238"/>
    </font>
    <font>
      <b/>
      <sz val="10"/>
      <color rgb="FFFB9543"/>
      <name val="G Centra"/>
      <charset val="238"/>
    </font>
    <font>
      <b/>
      <sz val="10"/>
      <color rgb="FFD9AE17"/>
      <name val="G Centra"/>
      <charset val="238"/>
    </font>
    <font>
      <sz val="10"/>
      <color rgb="FFFB9543"/>
      <name val="G Centra"/>
      <charset val="238"/>
    </font>
    <font>
      <sz val="10"/>
      <color rgb="FF0000FF"/>
      <name val="G Centra"/>
      <charset val="238"/>
    </font>
    <font>
      <u/>
      <sz val="10"/>
      <color theme="10"/>
      <name val="Arial"/>
      <family val="2"/>
      <charset val="238"/>
    </font>
    <font>
      <sz val="10"/>
      <color rgb="FF000000"/>
      <name val="Arial"/>
      <charset val="238"/>
    </font>
    <font>
      <b/>
      <sz val="8"/>
      <color rgb="FF1B2F51"/>
      <name val="G Centra"/>
      <charset val="238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CE4D6"/>
        <bgColor indexed="64"/>
      </patternFill>
    </fill>
    <fill>
      <patternFill patternType="solid">
        <fgColor rgb="FFCFE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99"/>
      </patternFill>
    </fill>
    <fill>
      <patternFill patternType="solid">
        <fgColor theme="0"/>
        <bgColor rgb="FF99CCFF"/>
      </patternFill>
    </fill>
    <fill>
      <patternFill patternType="solid">
        <fgColor theme="0"/>
        <bgColor rgb="FFFFFFCC"/>
      </patternFill>
    </fill>
    <fill>
      <patternFill patternType="solid">
        <fgColor rgb="FFCFE2E6"/>
        <bgColor rgb="FF99CCFF"/>
      </patternFill>
    </fill>
  </fills>
  <borders count="2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B274B"/>
      </left>
      <right style="thin">
        <color rgb="FF0B274B"/>
      </right>
      <top style="thin">
        <color rgb="FF0B274B"/>
      </top>
      <bottom style="thin">
        <color rgb="FF0B274B"/>
      </bottom>
      <diagonal/>
    </border>
    <border>
      <left style="thin">
        <color rgb="FF1B2F51"/>
      </left>
      <right style="thin">
        <color rgb="FF1B2F51"/>
      </right>
      <top style="thin">
        <color rgb="FF1B2F51"/>
      </top>
      <bottom style="thin">
        <color rgb="FF1B2F51"/>
      </bottom>
      <diagonal/>
    </border>
    <border>
      <left style="thin">
        <color rgb="FF0B274B"/>
      </left>
      <right/>
      <top style="thin">
        <color rgb="FF0B274B"/>
      </top>
      <bottom style="thin">
        <color rgb="FF0B274B"/>
      </bottom>
      <diagonal/>
    </border>
    <border>
      <left/>
      <right/>
      <top style="thin">
        <color rgb="FF0B274B"/>
      </top>
      <bottom style="thin">
        <color rgb="FF0B274B"/>
      </bottom>
      <diagonal/>
    </border>
    <border>
      <left/>
      <right style="thin">
        <color rgb="FF0B274B"/>
      </right>
      <top style="thin">
        <color rgb="FF0B274B"/>
      </top>
      <bottom style="thin">
        <color rgb="FF0B274B"/>
      </bottom>
      <diagonal/>
    </border>
    <border>
      <left style="thin">
        <color rgb="FF0B274B"/>
      </left>
      <right/>
      <top style="thin">
        <color rgb="FF0B274B"/>
      </top>
      <bottom/>
      <diagonal/>
    </border>
    <border>
      <left/>
      <right style="thin">
        <color rgb="FF0B274B"/>
      </right>
      <top style="thin">
        <color rgb="FF0B274B"/>
      </top>
      <bottom/>
      <diagonal/>
    </border>
    <border>
      <left style="thin">
        <color rgb="FF0B274B"/>
      </left>
      <right/>
      <top/>
      <bottom style="thin">
        <color rgb="FF0B274B"/>
      </bottom>
      <diagonal/>
    </border>
    <border>
      <left/>
      <right style="thin">
        <color rgb="FF0B274B"/>
      </right>
      <top/>
      <bottom style="thin">
        <color rgb="FF0B274B"/>
      </bottom>
      <diagonal/>
    </border>
    <border>
      <left/>
      <right/>
      <top style="thin">
        <color rgb="FF0B274B"/>
      </top>
      <bottom/>
      <diagonal/>
    </border>
    <border>
      <left/>
      <right/>
      <top/>
      <bottom style="thin">
        <color rgb="FF0B274B"/>
      </bottom>
      <diagonal/>
    </border>
    <border>
      <left style="thin">
        <color rgb="FF0B274B"/>
      </left>
      <right style="thin">
        <color rgb="FF0B274B"/>
      </right>
      <top style="thin">
        <color rgb="FF0B274B"/>
      </top>
      <bottom/>
      <diagonal/>
    </border>
    <border>
      <left style="thin">
        <color rgb="FF0B274B"/>
      </left>
      <right style="thin">
        <color rgb="FF0B274B"/>
      </right>
      <top/>
      <bottom/>
      <diagonal/>
    </border>
    <border>
      <left style="thin">
        <color rgb="FF0B274B"/>
      </left>
      <right style="thin">
        <color rgb="FF0B274B"/>
      </right>
      <top/>
      <bottom style="thin">
        <color rgb="FF0B274B"/>
      </bottom>
      <diagonal/>
    </border>
    <border>
      <left style="thin">
        <color rgb="FF1B2F51"/>
      </left>
      <right style="thin">
        <color rgb="FF1B2F51"/>
      </right>
      <top/>
      <bottom style="thin">
        <color rgb="FF1B2F51"/>
      </bottom>
      <diagonal/>
    </border>
    <border>
      <left style="thin">
        <color rgb="FF0B274B"/>
      </left>
      <right/>
      <top/>
      <bottom/>
      <diagonal/>
    </border>
    <border>
      <left style="thick">
        <color rgb="FFFB9543"/>
      </left>
      <right style="thick">
        <color rgb="FFFB9543"/>
      </right>
      <top style="thick">
        <color rgb="FFFB9543"/>
      </top>
      <bottom style="thin">
        <color rgb="FF0B274B"/>
      </bottom>
      <diagonal/>
    </border>
    <border>
      <left style="thick">
        <color rgb="FFFB9543"/>
      </left>
      <right style="thick">
        <color rgb="FFFB9543"/>
      </right>
      <top style="thin">
        <color rgb="FF0B274B"/>
      </top>
      <bottom style="thin">
        <color rgb="FF0B274B"/>
      </bottom>
      <diagonal/>
    </border>
    <border>
      <left style="thick">
        <color rgb="FFFB9543"/>
      </left>
      <right style="thick">
        <color rgb="FFFB9543"/>
      </right>
      <top style="thin">
        <color rgb="FF0B274B"/>
      </top>
      <bottom style="thick">
        <color rgb="FFFB9543"/>
      </bottom>
      <diagonal/>
    </border>
    <border>
      <left/>
      <right style="thick">
        <color rgb="FFFB9543"/>
      </right>
      <top style="thin">
        <color rgb="FF0B274B"/>
      </top>
      <bottom style="thin">
        <color rgb="FF0B274B"/>
      </bottom>
      <diagonal/>
    </border>
    <border>
      <left style="thick">
        <color rgb="FFFB9543"/>
      </left>
      <right/>
      <top style="thin">
        <color rgb="FF0B274B"/>
      </top>
      <bottom style="thin">
        <color rgb="FF0B274B"/>
      </bottom>
      <diagonal/>
    </border>
    <border>
      <left style="thin">
        <color rgb="FF1B2F51"/>
      </left>
      <right style="thin">
        <color rgb="FF1B2F51"/>
      </right>
      <top style="thin">
        <color rgb="FF0B274B"/>
      </top>
      <bottom/>
      <diagonal/>
    </border>
    <border>
      <left style="thin">
        <color rgb="FF1B2F51"/>
      </left>
      <right style="thin">
        <color rgb="FF1B2F51"/>
      </right>
      <top/>
      <bottom/>
      <diagonal/>
    </border>
  </borders>
  <cellStyleXfs count="3">
    <xf numFmtId="0" fontId="0" fillId="0" borderId="0"/>
    <xf numFmtId="0" fontId="38" fillId="0" borderId="0" applyNumberFormat="0" applyFill="0" applyBorder="0" applyAlignment="0" applyProtection="0"/>
    <xf numFmtId="44" fontId="49" fillId="0" borderId="0" applyFont="0" applyFill="0" applyBorder="0" applyAlignment="0" applyProtection="0"/>
  </cellStyleXfs>
  <cellXfs count="223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165" fontId="2" fillId="2" borderId="0" xfId="0" applyNumberFormat="1" applyFont="1" applyFill="1" applyAlignment="1">
      <alignment wrapText="1"/>
    </xf>
    <xf numFmtId="0" fontId="1" fillId="2" borderId="0" xfId="0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166" fontId="0" fillId="0" borderId="0" xfId="0" applyNumberFormat="1"/>
    <xf numFmtId="10" fontId="0" fillId="0" borderId="0" xfId="0" applyNumberFormat="1"/>
    <xf numFmtId="165" fontId="8" fillId="2" borderId="0" xfId="0" applyNumberFormat="1" applyFont="1" applyFill="1" applyAlignment="1">
      <alignment horizontal="right" wrapText="1"/>
    </xf>
    <xf numFmtId="165" fontId="8" fillId="2" borderId="0" xfId="0" applyNumberFormat="1" applyFont="1" applyFill="1"/>
    <xf numFmtId="165" fontId="8" fillId="2" borderId="0" xfId="0" applyNumberFormat="1" applyFont="1" applyFill="1" applyAlignment="1">
      <alignment horizontal="left" wrapText="1"/>
    </xf>
    <xf numFmtId="165" fontId="8" fillId="2" borderId="0" xfId="0" applyNumberFormat="1" applyFont="1" applyFill="1" applyAlignment="1">
      <alignment horizontal="left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4" fillId="0" borderId="0" xfId="0" applyFont="1"/>
    <xf numFmtId="9" fontId="8" fillId="0" borderId="0" xfId="0" applyNumberFormat="1" applyFont="1" applyAlignment="1">
      <alignment horizontal="left" vertical="center" wrapText="1"/>
    </xf>
    <xf numFmtId="9" fontId="8" fillId="0" borderId="0" xfId="0" applyNumberFormat="1" applyFont="1" applyAlignment="1">
      <alignment horizontal="left" vertical="center"/>
    </xf>
    <xf numFmtId="165" fontId="15" fillId="2" borderId="0" xfId="0" applyNumberFormat="1" applyFont="1" applyFill="1" applyAlignment="1">
      <alignment wrapText="1"/>
    </xf>
    <xf numFmtId="165" fontId="15" fillId="2" borderId="0" xfId="0" applyNumberFormat="1" applyFont="1" applyFill="1"/>
    <xf numFmtId="9" fontId="8" fillId="0" borderId="0" xfId="0" applyNumberFormat="1" applyFont="1"/>
    <xf numFmtId="0" fontId="17" fillId="2" borderId="0" xfId="0" applyFont="1" applyFill="1" applyAlignment="1">
      <alignment wrapText="1"/>
    </xf>
    <xf numFmtId="165" fontId="17" fillId="2" borderId="0" xfId="0" applyNumberFormat="1" applyFont="1" applyFill="1"/>
    <xf numFmtId="0" fontId="18" fillId="0" borderId="0" xfId="0" applyFont="1" applyAlignment="1">
      <alignment wrapText="1"/>
    </xf>
    <xf numFmtId="165" fontId="19" fillId="2" borderId="0" xfId="0" applyNumberFormat="1" applyFont="1" applyFill="1"/>
    <xf numFmtId="164" fontId="19" fillId="2" borderId="0" xfId="0" applyNumberFormat="1" applyFont="1" applyFill="1"/>
    <xf numFmtId="165" fontId="19" fillId="2" borderId="0" xfId="0" applyNumberFormat="1" applyFont="1" applyFill="1" applyAlignment="1">
      <alignment wrapText="1"/>
    </xf>
    <xf numFmtId="9" fontId="5" fillId="2" borderId="0" xfId="0" applyNumberFormat="1" applyFont="1" applyFill="1" applyAlignment="1">
      <alignment horizontal="left"/>
    </xf>
    <xf numFmtId="164" fontId="8" fillId="2" borderId="0" xfId="0" applyNumberFormat="1" applyFont="1" applyFill="1" applyAlignment="1">
      <alignment horizontal="left"/>
    </xf>
    <xf numFmtId="164" fontId="12" fillId="0" borderId="0" xfId="0" applyNumberFormat="1" applyFont="1" applyAlignment="1">
      <alignment horizontal="left" vertical="center"/>
    </xf>
    <xf numFmtId="165" fontId="14" fillId="2" borderId="0" xfId="0" applyNumberFormat="1" applyFont="1" applyFill="1"/>
    <xf numFmtId="0" fontId="12" fillId="0" borderId="0" xfId="0" applyFont="1"/>
    <xf numFmtId="164" fontId="15" fillId="2" borderId="0" xfId="0" applyNumberFormat="1" applyFont="1" applyFill="1"/>
    <xf numFmtId="164" fontId="16" fillId="2" borderId="0" xfId="0" applyNumberFormat="1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164" fontId="17" fillId="2" borderId="0" xfId="0" applyNumberFormat="1" applyFont="1" applyFill="1"/>
    <xf numFmtId="0" fontId="23" fillId="0" borderId="2" xfId="0" applyFont="1" applyBorder="1" applyAlignment="1">
      <alignment horizontal="right" vertical="center" wrapText="1"/>
    </xf>
    <xf numFmtId="0" fontId="28" fillId="0" borderId="2" xfId="0" applyFont="1" applyBorder="1" applyAlignment="1">
      <alignment wrapText="1"/>
    </xf>
    <xf numFmtId="10" fontId="27" fillId="3" borderId="2" xfId="0" applyNumberFormat="1" applyFont="1" applyFill="1" applyBorder="1" applyAlignment="1">
      <alignment horizontal="center"/>
    </xf>
    <xf numFmtId="0" fontId="28" fillId="0" borderId="2" xfId="0" applyFont="1" applyBorder="1" applyAlignment="1">
      <alignment horizontal="center" vertical="center" wrapText="1"/>
    </xf>
    <xf numFmtId="10" fontId="23" fillId="0" borderId="2" xfId="0" applyNumberFormat="1" applyFont="1" applyBorder="1" applyAlignment="1">
      <alignment horizontal="center"/>
    </xf>
    <xf numFmtId="0" fontId="23" fillId="0" borderId="2" xfId="0" applyFont="1" applyBorder="1" applyAlignment="1">
      <alignment horizontal="center" vertical="center" wrapText="1"/>
    </xf>
    <xf numFmtId="0" fontId="30" fillId="0" borderId="3" xfId="0" applyFont="1" applyBorder="1"/>
    <xf numFmtId="166" fontId="30" fillId="0" borderId="3" xfId="0" applyNumberFormat="1" applyFont="1" applyBorder="1"/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/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wrapText="1"/>
    </xf>
    <xf numFmtId="166" fontId="1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wrapText="1"/>
    </xf>
    <xf numFmtId="2" fontId="8" fillId="0" borderId="2" xfId="0" applyNumberFormat="1" applyFont="1" applyBorder="1"/>
    <xf numFmtId="166" fontId="11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166" fontId="8" fillId="0" borderId="2" xfId="0" applyNumberFormat="1" applyFont="1" applyBorder="1" applyAlignment="1">
      <alignment horizontal="center"/>
    </xf>
    <xf numFmtId="168" fontId="8" fillId="0" borderId="2" xfId="0" applyNumberFormat="1" applyFont="1" applyBorder="1" applyAlignment="1">
      <alignment horizontal="center"/>
    </xf>
    <xf numFmtId="168" fontId="9" fillId="0" borderId="2" xfId="0" applyNumberFormat="1" applyFont="1" applyBorder="1" applyAlignment="1">
      <alignment horizontal="center"/>
    </xf>
    <xf numFmtId="0" fontId="23" fillId="4" borderId="2" xfId="0" applyFont="1" applyFill="1" applyBorder="1" applyAlignment="1">
      <alignment horizontal="right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right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32" fillId="0" borderId="0" xfId="0" applyFont="1" applyAlignment="1">
      <alignment wrapText="1"/>
    </xf>
    <xf numFmtId="10" fontId="35" fillId="5" borderId="2" xfId="0" applyNumberFormat="1" applyFont="1" applyFill="1" applyBorder="1" applyAlignment="1">
      <alignment horizontal="center" vertical="center" wrapText="1"/>
    </xf>
    <xf numFmtId="168" fontId="9" fillId="4" borderId="2" xfId="0" applyNumberFormat="1" applyFont="1" applyFill="1" applyBorder="1" applyAlignment="1">
      <alignment horizontal="center"/>
    </xf>
    <xf numFmtId="0" fontId="27" fillId="3" borderId="2" xfId="0" applyFont="1" applyFill="1" applyBorder="1" applyAlignment="1" applyProtection="1">
      <alignment horizontal="center"/>
      <protection locked="0"/>
    </xf>
    <xf numFmtId="10" fontId="27" fillId="3" borderId="2" xfId="0" applyNumberFormat="1" applyFont="1" applyFill="1" applyBorder="1" applyAlignment="1" applyProtection="1">
      <alignment horizontal="center"/>
      <protection locked="0"/>
    </xf>
    <xf numFmtId="9" fontId="35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24" fillId="6" borderId="2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166" fontId="8" fillId="5" borderId="2" xfId="0" applyNumberFormat="1" applyFont="1" applyFill="1" applyBorder="1" applyAlignment="1">
      <alignment horizontal="center"/>
    </xf>
    <xf numFmtId="168" fontId="8" fillId="8" borderId="2" xfId="0" applyNumberFormat="1" applyFont="1" applyFill="1" applyBorder="1" applyAlignment="1">
      <alignment horizontal="center"/>
    </xf>
    <xf numFmtId="9" fontId="23" fillId="8" borderId="2" xfId="0" applyNumberFormat="1" applyFont="1" applyFill="1" applyBorder="1" applyAlignment="1">
      <alignment horizontal="left"/>
    </xf>
    <xf numFmtId="0" fontId="23" fillId="0" borderId="2" xfId="0" applyFont="1" applyBorder="1"/>
    <xf numFmtId="0" fontId="31" fillId="0" borderId="0" xfId="0" applyFont="1" applyAlignment="1">
      <alignment horizontal="center" vertical="center"/>
    </xf>
    <xf numFmtId="0" fontId="30" fillId="4" borderId="2" xfId="0" applyFont="1" applyFill="1" applyBorder="1"/>
    <xf numFmtId="0" fontId="29" fillId="4" borderId="2" xfId="0" applyFont="1" applyFill="1" applyBorder="1"/>
    <xf numFmtId="0" fontId="29" fillId="4" borderId="16" xfId="0" applyFont="1" applyFill="1" applyBorder="1" applyAlignment="1">
      <alignment wrapText="1"/>
    </xf>
    <xf numFmtId="0" fontId="29" fillId="4" borderId="3" xfId="0" applyFont="1" applyFill="1" applyBorder="1" applyAlignment="1">
      <alignment wrapText="1"/>
    </xf>
    <xf numFmtId="0" fontId="30" fillId="5" borderId="0" xfId="0" applyFont="1" applyFill="1"/>
    <xf numFmtId="0" fontId="30" fillId="7" borderId="2" xfId="0" applyFont="1" applyFill="1" applyBorder="1"/>
    <xf numFmtId="0" fontId="30" fillId="5" borderId="2" xfId="0" applyFont="1" applyFill="1" applyBorder="1"/>
    <xf numFmtId="166" fontId="30" fillId="5" borderId="2" xfId="0" applyNumberFormat="1" applyFont="1" applyFill="1" applyBorder="1"/>
    <xf numFmtId="0" fontId="29" fillId="9" borderId="2" xfId="0" applyFont="1" applyFill="1" applyBorder="1"/>
    <xf numFmtId="0" fontId="30" fillId="9" borderId="2" xfId="0" applyFont="1" applyFill="1" applyBorder="1"/>
    <xf numFmtId="0" fontId="29" fillId="4" borderId="2" xfId="0" applyFont="1" applyFill="1" applyBorder="1" applyAlignment="1">
      <alignment wrapText="1"/>
    </xf>
    <xf numFmtId="0" fontId="37" fillId="5" borderId="0" xfId="0" applyFont="1" applyFill="1"/>
    <xf numFmtId="0" fontId="30" fillId="9" borderId="1" xfId="0" applyFont="1" applyFill="1" applyBorder="1"/>
    <xf numFmtId="0" fontId="29" fillId="9" borderId="1" xfId="0" applyFont="1" applyFill="1" applyBorder="1"/>
    <xf numFmtId="166" fontId="30" fillId="9" borderId="1" xfId="0" applyNumberFormat="1" applyFont="1" applyFill="1" applyBorder="1"/>
    <xf numFmtId="0" fontId="36" fillId="0" borderId="2" xfId="0" applyFont="1" applyBorder="1" applyAlignment="1">
      <alignment horizontal="center" vertical="center" wrapText="1"/>
    </xf>
    <xf numFmtId="0" fontId="31" fillId="0" borderId="0" xfId="0" applyFont="1"/>
    <xf numFmtId="0" fontId="40" fillId="7" borderId="2" xfId="0" applyFont="1" applyFill="1" applyBorder="1"/>
    <xf numFmtId="0" fontId="40" fillId="5" borderId="2" xfId="0" applyFont="1" applyFill="1" applyBorder="1" applyAlignment="1">
      <alignment wrapText="1"/>
    </xf>
    <xf numFmtId="0" fontId="41" fillId="5" borderId="0" xfId="0" applyFont="1" applyFill="1"/>
    <xf numFmtId="0" fontId="42" fillId="0" borderId="0" xfId="0" applyFont="1"/>
    <xf numFmtId="10" fontId="27" fillId="3" borderId="2" xfId="0" applyNumberFormat="1" applyFont="1" applyFill="1" applyBorder="1" applyAlignment="1" applyProtection="1">
      <alignment horizontal="center" wrapText="1"/>
      <protection locked="0"/>
    </xf>
    <xf numFmtId="0" fontId="27" fillId="3" borderId="2" xfId="0" applyFont="1" applyFill="1" applyBorder="1" applyProtection="1">
      <protection locked="0"/>
    </xf>
    <xf numFmtId="0" fontId="43" fillId="0" borderId="2" xfId="0" applyFont="1" applyBorder="1" applyAlignment="1">
      <alignment horizontal="center" vertical="center" wrapText="1"/>
    </xf>
    <xf numFmtId="167" fontId="8" fillId="0" borderId="2" xfId="0" applyNumberFormat="1" applyFont="1" applyBorder="1" applyAlignment="1">
      <alignment horizontal="center"/>
    </xf>
    <xf numFmtId="0" fontId="9" fillId="4" borderId="6" xfId="0" applyFont="1" applyFill="1" applyBorder="1" applyAlignment="1">
      <alignment horizontal="center" vertical="center" wrapText="1"/>
    </xf>
    <xf numFmtId="0" fontId="43" fillId="0" borderId="6" xfId="0" applyFont="1" applyBorder="1" applyAlignment="1">
      <alignment horizontal="center" vertical="center" wrapText="1"/>
    </xf>
    <xf numFmtId="167" fontId="8" fillId="0" borderId="6" xfId="0" applyNumberFormat="1" applyFont="1" applyBorder="1" applyAlignment="1">
      <alignment horizontal="center"/>
    </xf>
    <xf numFmtId="10" fontId="23" fillId="0" borderId="6" xfId="0" applyNumberFormat="1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168" fontId="9" fillId="0" borderId="6" xfId="0" applyNumberFormat="1" applyFont="1" applyBorder="1" applyAlignment="1">
      <alignment horizontal="center"/>
    </xf>
    <xf numFmtId="0" fontId="9" fillId="4" borderId="18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167" fontId="8" fillId="0" borderId="19" xfId="0" applyNumberFormat="1" applyFont="1" applyBorder="1" applyAlignment="1">
      <alignment horizontal="center"/>
    </xf>
    <xf numFmtId="10" fontId="8" fillId="0" borderId="19" xfId="0" applyNumberFormat="1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166" fontId="8" fillId="0" borderId="19" xfId="0" applyNumberFormat="1" applyFont="1" applyBorder="1" applyAlignment="1">
      <alignment horizontal="center"/>
    </xf>
    <xf numFmtId="168" fontId="8" fillId="0" borderId="19" xfId="0" applyNumberFormat="1" applyFont="1" applyBorder="1" applyAlignment="1">
      <alignment horizontal="center"/>
    </xf>
    <xf numFmtId="168" fontId="9" fillId="0" borderId="19" xfId="0" applyNumberFormat="1" applyFont="1" applyBorder="1" applyAlignment="1">
      <alignment horizontal="center"/>
    </xf>
    <xf numFmtId="168" fontId="9" fillId="4" borderId="19" xfId="0" applyNumberFormat="1" applyFont="1" applyFill="1" applyBorder="1" applyAlignment="1">
      <alignment horizontal="center"/>
    </xf>
    <xf numFmtId="168" fontId="9" fillId="0" borderId="20" xfId="0" applyNumberFormat="1" applyFont="1" applyBorder="1" applyAlignment="1">
      <alignment horizontal="center"/>
    </xf>
    <xf numFmtId="0" fontId="44" fillId="0" borderId="0" xfId="0" applyFont="1" applyAlignment="1">
      <alignment wrapText="1"/>
    </xf>
    <xf numFmtId="0" fontId="30" fillId="0" borderId="0" xfId="0" applyFont="1" applyAlignment="1">
      <alignment wrapText="1"/>
    </xf>
    <xf numFmtId="0" fontId="45" fillId="0" borderId="0" xfId="0" applyFont="1" applyAlignment="1">
      <alignment wrapText="1"/>
    </xf>
    <xf numFmtId="0" fontId="46" fillId="0" borderId="0" xfId="0" applyFont="1" applyAlignment="1">
      <alignment wrapText="1"/>
    </xf>
    <xf numFmtId="0" fontId="47" fillId="0" borderId="0" xfId="0" applyFont="1" applyAlignment="1">
      <alignment wrapText="1"/>
    </xf>
    <xf numFmtId="0" fontId="48" fillId="0" borderId="0" xfId="1" applyFont="1" applyAlignment="1">
      <alignment wrapText="1"/>
    </xf>
    <xf numFmtId="44" fontId="0" fillId="0" borderId="0" xfId="2" applyFont="1"/>
    <xf numFmtId="44" fontId="0" fillId="0" borderId="0" xfId="0" applyNumberFormat="1"/>
    <xf numFmtId="0" fontId="1" fillId="2" borderId="0" xfId="0" applyFont="1" applyFill="1" applyAlignment="1">
      <alignment horizontal="right" vertical="center"/>
    </xf>
    <xf numFmtId="0" fontId="0" fillId="0" borderId="0" xfId="0" applyAlignment="1">
      <alignment horizontal="right"/>
    </xf>
    <xf numFmtId="168" fontId="0" fillId="0" borderId="0" xfId="0" applyNumberFormat="1" applyAlignment="1">
      <alignment horizontal="right"/>
    </xf>
    <xf numFmtId="0" fontId="14" fillId="0" borderId="0" xfId="0" applyFont="1" applyAlignment="1">
      <alignment horizontal="right"/>
    </xf>
    <xf numFmtId="165" fontId="19" fillId="2" borderId="0" xfId="0" applyNumberFormat="1" applyFont="1" applyFill="1" applyAlignment="1">
      <alignment horizontal="right"/>
    </xf>
    <xf numFmtId="166" fontId="0" fillId="0" borderId="0" xfId="2" applyNumberFormat="1" applyFont="1"/>
    <xf numFmtId="166" fontId="8" fillId="0" borderId="5" xfId="0" applyNumberFormat="1" applyFont="1" applyBorder="1" applyAlignment="1">
      <alignment horizontal="center"/>
    </xf>
    <xf numFmtId="166" fontId="8" fillId="0" borderId="22" xfId="0" applyNumberFormat="1" applyFont="1" applyBorder="1" applyAlignment="1">
      <alignment horizontal="center"/>
    </xf>
    <xf numFmtId="168" fontId="8" fillId="0" borderId="5" xfId="0" applyNumberFormat="1" applyFont="1" applyBorder="1" applyAlignment="1">
      <alignment horizontal="center"/>
    </xf>
    <xf numFmtId="168" fontId="9" fillId="0" borderId="22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168" fontId="9" fillId="4" borderId="22" xfId="0" applyNumberFormat="1" applyFont="1" applyFill="1" applyBorder="1" applyAlignment="1">
      <alignment horizontal="center"/>
    </xf>
    <xf numFmtId="0" fontId="30" fillId="0" borderId="16" xfId="0" applyFont="1" applyBorder="1"/>
    <xf numFmtId="169" fontId="30" fillId="5" borderId="2" xfId="0" applyNumberFormat="1" applyFont="1" applyFill="1" applyBorder="1"/>
    <xf numFmtId="2" fontId="30" fillId="5" borderId="3" xfId="0" applyNumberFormat="1" applyFont="1" applyFill="1" applyBorder="1"/>
    <xf numFmtId="168" fontId="8" fillId="0" borderId="22" xfId="0" applyNumberFormat="1" applyFont="1" applyBorder="1" applyAlignment="1">
      <alignment horizontal="center"/>
    </xf>
    <xf numFmtId="168" fontId="0" fillId="0" borderId="0" xfId="2" applyNumberFormat="1" applyFont="1"/>
    <xf numFmtId="0" fontId="8" fillId="4" borderId="4" xfId="0" applyFont="1" applyFill="1" applyBorder="1" applyAlignment="1">
      <alignment horizontal="right" vertical="center" wrapText="1"/>
    </xf>
    <xf numFmtId="0" fontId="8" fillId="4" borderId="5" xfId="0" applyFont="1" applyFill="1" applyBorder="1" applyAlignment="1">
      <alignment horizontal="right" vertical="center" wrapText="1"/>
    </xf>
    <xf numFmtId="0" fontId="8" fillId="4" borderId="21" xfId="0" applyFont="1" applyFill="1" applyBorder="1" applyAlignment="1">
      <alignment horizontal="right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9" fontId="8" fillId="0" borderId="0" xfId="0" applyNumberFormat="1" applyFont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50" fillId="4" borderId="2" xfId="0" applyFont="1" applyFill="1" applyBorder="1" applyAlignment="1">
      <alignment horizontal="center" vertical="center" wrapText="1"/>
    </xf>
    <xf numFmtId="0" fontId="50" fillId="4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165" fontId="39" fillId="2" borderId="0" xfId="0" applyNumberFormat="1" applyFont="1" applyFill="1" applyAlignment="1">
      <alignment horizontal="center"/>
    </xf>
    <xf numFmtId="0" fontId="13" fillId="4" borderId="4" xfId="0" applyFont="1" applyFill="1" applyBorder="1" applyAlignment="1">
      <alignment horizontal="right" vertical="center" wrapText="1"/>
    </xf>
    <xf numFmtId="0" fontId="13" fillId="4" borderId="5" xfId="0" applyFont="1" applyFill="1" applyBorder="1" applyAlignment="1">
      <alignment horizontal="right" vertical="center" wrapText="1"/>
    </xf>
    <xf numFmtId="0" fontId="13" fillId="4" borderId="21" xfId="0" applyFont="1" applyFill="1" applyBorder="1" applyAlignment="1">
      <alignment horizontal="right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right" vertical="center" wrapText="1"/>
    </xf>
    <xf numFmtId="0" fontId="32" fillId="0" borderId="0" xfId="0" applyFont="1" applyAlignment="1">
      <alignment wrapText="1"/>
    </xf>
    <xf numFmtId="0" fontId="9" fillId="4" borderId="2" xfId="0" applyFont="1" applyFill="1" applyBorder="1" applyAlignment="1">
      <alignment horizontal="right" vertical="center" wrapText="1"/>
    </xf>
    <xf numFmtId="0" fontId="9" fillId="4" borderId="4" xfId="0" applyFont="1" applyFill="1" applyBorder="1" applyAlignment="1">
      <alignment horizontal="right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right" vertical="center"/>
    </xf>
    <xf numFmtId="0" fontId="23" fillId="0" borderId="4" xfId="0" applyFont="1" applyBorder="1"/>
    <xf numFmtId="0" fontId="23" fillId="0" borderId="6" xfId="0" applyFont="1" applyBorder="1"/>
    <xf numFmtId="0" fontId="33" fillId="4" borderId="2" xfId="0" applyFont="1" applyFill="1" applyBorder="1" applyAlignment="1">
      <alignment horizontal="center" vertical="center" wrapText="1"/>
    </xf>
    <xf numFmtId="0" fontId="33" fillId="4" borderId="13" xfId="0" applyFont="1" applyFill="1" applyBorder="1" applyAlignment="1">
      <alignment horizontal="center" vertical="center" wrapText="1"/>
    </xf>
    <xf numFmtId="0" fontId="32" fillId="0" borderId="17" xfId="0" applyFont="1" applyBorder="1" applyAlignment="1">
      <alignment horizontal="center" wrapText="1"/>
    </xf>
    <xf numFmtId="0" fontId="32" fillId="0" borderId="0" xfId="0" applyFont="1" applyAlignment="1">
      <alignment horizontal="center" wrapText="1"/>
    </xf>
    <xf numFmtId="0" fontId="8" fillId="0" borderId="2" xfId="0" applyFont="1" applyBorder="1" applyAlignment="1">
      <alignment horizontal="center" vertical="center"/>
    </xf>
    <xf numFmtId="10" fontId="8" fillId="0" borderId="2" xfId="0" applyNumberFormat="1" applyFont="1" applyBorder="1" applyAlignment="1">
      <alignment horizontal="center" vertical="center"/>
    </xf>
    <xf numFmtId="0" fontId="27" fillId="3" borderId="4" xfId="0" applyFont="1" applyFill="1" applyBorder="1" applyAlignment="1" applyProtection="1">
      <alignment horizontal="center" vertical="center"/>
      <protection locked="0"/>
    </xf>
    <xf numFmtId="0" fontId="27" fillId="3" borderId="5" xfId="0" applyFont="1" applyFill="1" applyBorder="1" applyAlignment="1" applyProtection="1">
      <alignment horizontal="center" vertical="center"/>
      <protection locked="0"/>
    </xf>
    <xf numFmtId="0" fontId="27" fillId="3" borderId="6" xfId="0" applyFont="1" applyFill="1" applyBorder="1" applyAlignment="1" applyProtection="1">
      <alignment horizontal="center" vertical="center"/>
      <protection locked="0"/>
    </xf>
    <xf numFmtId="0" fontId="8" fillId="0" borderId="2" xfId="0" applyFont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3" fillId="4" borderId="2" xfId="0" applyFont="1" applyFill="1" applyBorder="1" applyAlignment="1">
      <alignment horizontal="right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36" fillId="0" borderId="13" xfId="0" applyFont="1" applyBorder="1" applyAlignment="1">
      <alignment horizontal="center" vertical="center" wrapText="1"/>
    </xf>
    <xf numFmtId="0" fontId="36" fillId="0" borderId="14" xfId="0" applyFont="1" applyBorder="1" applyAlignment="1">
      <alignment horizontal="center" vertical="center" wrapText="1"/>
    </xf>
    <xf numFmtId="0" fontId="36" fillId="0" borderId="15" xfId="0" applyFont="1" applyBorder="1" applyAlignment="1">
      <alignment horizontal="center" vertical="center" wrapText="1"/>
    </xf>
    <xf numFmtId="9" fontId="8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9" fillId="4" borderId="16" xfId="0" applyFont="1" applyFill="1" applyBorder="1" applyAlignment="1">
      <alignment horizontal="center" vertical="center" wrapText="1"/>
    </xf>
    <xf numFmtId="0" fontId="29" fillId="4" borderId="3" xfId="0" applyFont="1" applyFill="1" applyBorder="1" applyAlignment="1">
      <alignment horizontal="center" vertical="center" wrapText="1"/>
    </xf>
    <xf numFmtId="0" fontId="24" fillId="4" borderId="4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24" fillId="4" borderId="6" xfId="0" applyFont="1" applyFill="1" applyBorder="1" applyAlignment="1">
      <alignment horizontal="center" vertical="center" wrapText="1"/>
    </xf>
    <xf numFmtId="0" fontId="29" fillId="4" borderId="23" xfId="0" applyFont="1" applyFill="1" applyBorder="1" applyAlignment="1">
      <alignment horizontal="center" vertical="center" wrapText="1"/>
    </xf>
    <xf numFmtId="0" fontId="29" fillId="4" borderId="24" xfId="0" applyFont="1" applyFill="1" applyBorder="1" applyAlignment="1">
      <alignment horizontal="center" vertical="center" wrapText="1"/>
    </xf>
    <xf numFmtId="0" fontId="30" fillId="9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4" fillId="4" borderId="7" xfId="0" applyFont="1" applyFill="1" applyBorder="1" applyAlignment="1">
      <alignment horizontal="center" vertical="center" wrapText="1"/>
    </xf>
    <xf numFmtId="0" fontId="24" fillId="4" borderId="11" xfId="0" applyFont="1" applyFill="1" applyBorder="1" applyAlignment="1">
      <alignment horizontal="center" vertical="center" wrapText="1"/>
    </xf>
    <xf numFmtId="0" fontId="24" fillId="4" borderId="8" xfId="0" applyFont="1" applyFill="1" applyBorder="1" applyAlignment="1">
      <alignment horizontal="center" vertical="center" wrapText="1"/>
    </xf>
    <xf numFmtId="0" fontId="24" fillId="4" borderId="9" xfId="0" applyFont="1" applyFill="1" applyBorder="1" applyAlignment="1">
      <alignment horizontal="center" vertical="center" wrapText="1"/>
    </xf>
    <xf numFmtId="0" fontId="24" fillId="4" borderId="12" xfId="0" applyFont="1" applyFill="1" applyBorder="1" applyAlignment="1">
      <alignment horizontal="center" vertical="center" wrapText="1"/>
    </xf>
    <xf numFmtId="0" fontId="24" fillId="4" borderId="10" xfId="0" applyFont="1" applyFill="1" applyBorder="1" applyAlignment="1">
      <alignment horizontal="center" vertical="center" wrapText="1"/>
    </xf>
    <xf numFmtId="0" fontId="30" fillId="9" borderId="1" xfId="0" applyFont="1" applyFill="1" applyBorder="1" applyAlignment="1">
      <alignment horizontal="left" vertical="center"/>
    </xf>
    <xf numFmtId="0" fontId="30" fillId="9" borderId="1" xfId="0" applyFont="1" applyFill="1" applyBorder="1" applyAlignment="1">
      <alignment horizontal="center" vertical="center"/>
    </xf>
  </cellXfs>
  <cellStyles count="3">
    <cellStyle name="Hiperłącze" xfId="1" builtinId="8"/>
    <cellStyle name="Normalny" xfId="0" builtinId="0"/>
    <cellStyle name="Walutowy" xfId="2" builtinId="4"/>
  </cellStyles>
  <dxfs count="5">
    <dxf>
      <font>
        <color rgb="FF0B274B"/>
      </font>
    </dxf>
    <dxf>
      <font>
        <b/>
        <i val="0"/>
        <color rgb="FFFB9543"/>
      </font>
      <fill>
        <patternFill>
          <bgColor theme="5" tint="0.79998168889431442"/>
        </patternFill>
      </fill>
    </dxf>
    <dxf>
      <font>
        <b/>
        <i val="0"/>
        <color rgb="FFFB9543"/>
      </font>
      <fill>
        <patternFill>
          <bgColor theme="5" tint="0.79998168889431442"/>
        </patternFill>
      </fill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1D5F7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DDAF"/>
      <rgbColor rgb="FF2775F0"/>
      <rgbColor rgb="FF33CCCC"/>
      <rgbColor rgb="FF99CC00"/>
      <rgbColor rgb="FFFFCC00"/>
      <rgbColor rgb="FFFAA51A"/>
      <rgbColor rgb="FFFF6600"/>
      <rgbColor rgb="FF666699"/>
      <rgbColor rgb="FF969696"/>
      <rgbColor rgb="FF1B2F51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B274B"/>
      <color rgb="FFFB9543"/>
      <color rgb="FFCFE2E6"/>
      <color rgb="FF0EA5C3"/>
      <color rgb="FFFADDAF"/>
      <color rgb="FFFCE4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c:style val="2"/>
  <c:chart>
    <c:title>
      <c:tx>
        <c:rich>
          <a:bodyPr rot="0"/>
          <a:lstStyle/>
          <a:p>
            <a:pPr>
              <a:defRPr sz="1600" b="0" strike="noStrike" spc="-1">
                <a:solidFill>
                  <a:srgbClr val="1B2F51"/>
                </a:solidFill>
                <a:latin typeface="G Centra"/>
              </a:defRPr>
            </a:pPr>
            <a:r>
              <a:rPr lang="pl-PL" sz="1600" b="0" strike="noStrike" spc="-1">
                <a:solidFill>
                  <a:srgbClr val="1B2F51"/>
                </a:solidFill>
                <a:latin typeface="G Centra"/>
              </a:rPr>
              <a:t>Struktura rachunku za prąd 2023 dla rodziny „</a:t>
            </a:r>
            <a:r>
              <a:rPr lang="pl-PL" sz="1600" b="0" strike="noStrike" spc="-1" baseline="0">
                <a:solidFill>
                  <a:srgbClr val="1B2F51"/>
                </a:solidFill>
                <a:latin typeface="G Centra"/>
              </a:rPr>
              <a:t>Kowalskich”</a:t>
            </a:r>
            <a:endParaRPr lang="pl-PL" sz="1600" b="0" strike="noStrike" spc="-1">
              <a:solidFill>
                <a:srgbClr val="1B2F51"/>
              </a:solidFill>
              <a:latin typeface="G Centra"/>
            </a:endParaRPr>
          </a:p>
        </c:rich>
      </c:tx>
      <c:layout>
        <c:manualLayout>
          <c:xMode val="edge"/>
          <c:yMode val="edge"/>
          <c:x val="9.4260024715558E-2"/>
          <c:y val="3.8848650174019402E-2"/>
        </c:manualLayout>
      </c:layout>
      <c:overlay val="0"/>
      <c:spPr>
        <a:noFill/>
        <a:ln w="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9735373077087002"/>
          <c:y val="0.25576145235631598"/>
          <c:w val="0.27779434951208098"/>
          <c:h val="0.61311259524033501"/>
        </c:manualLayout>
      </c:layout>
      <c:pieChart>
        <c:varyColors val="1"/>
        <c:ser>
          <c:idx val="0"/>
          <c:order val="0"/>
          <c:tx>
            <c:strRef>
              <c:f>'Struktura rachunku'!$B$3:$B$3</c:f>
              <c:strCache>
                <c:ptCount val="1"/>
                <c:pt idx="0">
                  <c:v>Bez PV</c:v>
                </c:pt>
              </c:strCache>
            </c:strRef>
          </c:tx>
          <c:spPr>
            <a:solidFill>
              <a:srgbClr val="2775F0"/>
            </a:solidFill>
            <a:ln w="0">
              <a:noFill/>
            </a:ln>
          </c:spPr>
          <c:dPt>
            <c:idx val="0"/>
            <c:bubble3D val="0"/>
            <c:spPr>
              <a:solidFill>
                <a:srgbClr val="0B274B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1-C234-42B1-8CE7-DFB451D06146}"/>
              </c:ext>
            </c:extLst>
          </c:dPt>
          <c:dPt>
            <c:idx val="1"/>
            <c:bubble3D val="0"/>
            <c:spPr>
              <a:solidFill>
                <a:srgbClr val="FB9543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3-C234-42B1-8CE7-DFB451D06146}"/>
              </c:ext>
            </c:extLst>
          </c:dPt>
          <c:dPt>
            <c:idx val="2"/>
            <c:bubble3D val="0"/>
            <c:spPr>
              <a:solidFill>
                <a:srgbClr val="FADDAF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5-C234-42B1-8CE7-DFB451D06146}"/>
              </c:ext>
            </c:extLst>
          </c:dPt>
          <c:dPt>
            <c:idx val="3"/>
            <c:bubble3D val="0"/>
            <c:spPr>
              <a:solidFill>
                <a:srgbClr val="0EA5C3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7-C234-42B1-8CE7-DFB451D06146}"/>
              </c:ext>
            </c:extLst>
          </c:dPt>
          <c:dLbls>
            <c:dLbl>
              <c:idx val="0"/>
              <c:spPr/>
              <c:txPr>
                <a:bodyPr wrap="none"/>
                <a:lstStyle/>
                <a:p>
                  <a:pPr>
                    <a:defRPr sz="1000" b="0" strike="noStrike" spc="-1">
                      <a:latin typeface="Arial"/>
                    </a:defRPr>
                  </a:pPr>
                  <a:endParaRPr lang="pl-PL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234-42B1-8CE7-DFB451D06146}"/>
                </c:ext>
              </c:extLst>
            </c:dLbl>
            <c:dLbl>
              <c:idx val="1"/>
              <c:spPr/>
              <c:txPr>
                <a:bodyPr wrap="none"/>
                <a:lstStyle/>
                <a:p>
                  <a:pPr>
                    <a:defRPr sz="1000" b="0" strike="noStrike" spc="-1">
                      <a:latin typeface="Arial"/>
                    </a:defRPr>
                  </a:pPr>
                  <a:endParaRPr lang="pl-PL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234-42B1-8CE7-DFB451D06146}"/>
                </c:ext>
              </c:extLst>
            </c:dLbl>
            <c:dLbl>
              <c:idx val="2"/>
              <c:spPr/>
              <c:txPr>
                <a:bodyPr wrap="none"/>
                <a:lstStyle/>
                <a:p>
                  <a:pPr>
                    <a:defRPr sz="1000" b="0" strike="noStrike" spc="-1">
                      <a:latin typeface="Arial"/>
                    </a:defRPr>
                  </a:pPr>
                  <a:endParaRPr lang="pl-PL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234-42B1-8CE7-DFB451D06146}"/>
                </c:ext>
              </c:extLst>
            </c:dLbl>
            <c:dLbl>
              <c:idx val="3"/>
              <c:spPr/>
              <c:txPr>
                <a:bodyPr wrap="none"/>
                <a:lstStyle/>
                <a:p>
                  <a:pPr>
                    <a:defRPr sz="1000" b="0" strike="noStrike" spc="-1">
                      <a:latin typeface="Arial"/>
                    </a:defRPr>
                  </a:pPr>
                  <a:endParaRPr lang="pl-PL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234-42B1-8CE7-DFB451D0614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pl-PL"/>
              </a:p>
            </c:txPr>
            <c:dLblPos val="bestFit"/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'Struktura rachunku'!$A$4:$A$7</c:f>
              <c:strCache>
                <c:ptCount val="4"/>
                <c:pt idx="0">
                  <c:v>Energia czynna</c:v>
                </c:pt>
                <c:pt idx="1">
                  <c:v>Dodatkowe opłaty zmienne</c:v>
                </c:pt>
                <c:pt idx="2">
                  <c:v>Opłaty stałe</c:v>
                </c:pt>
                <c:pt idx="3">
                  <c:v>Podatek VAT</c:v>
                </c:pt>
              </c:strCache>
            </c:strRef>
          </c:cat>
          <c:val>
            <c:numRef>
              <c:f>'Struktura rachunku'!$B$4:$B$7</c:f>
              <c:numCache>
                <c:formatCode>#\ ##0.00\ [$zł-415];[Red]\-#\ ##0.00\ [$zł-415]</c:formatCode>
                <c:ptCount val="4"/>
                <c:pt idx="0">
                  <c:v>5351.1149999999998</c:v>
                </c:pt>
                <c:pt idx="1">
                  <c:v>2218.69</c:v>
                </c:pt>
                <c:pt idx="2">
                  <c:v>320.22000000000003</c:v>
                </c:pt>
                <c:pt idx="3">
                  <c:v>1584.5643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234-42B1-8CE7-DFB451D061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0">
          <a:noFill/>
        </a:ln>
      </c:spPr>
    </c:plotArea>
    <c:legend>
      <c:legendPos val="t"/>
      <c:layout>
        <c:manualLayout>
          <c:xMode val="edge"/>
          <c:yMode val="edge"/>
          <c:x val="5.27773044811723E-2"/>
          <c:y val="0.122932330827068"/>
          <c:w val="0.63356762513312004"/>
          <c:h val="0.11692828273333999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sz="800" b="0" strike="noStrike" spc="-1">
              <a:solidFill>
                <a:srgbClr val="1B2F51"/>
              </a:solidFill>
              <a:latin typeface="G Centra"/>
              <a:ea typeface="Arial"/>
            </a:defRPr>
          </a:pPr>
          <a:endParaRPr lang="pl-PL"/>
        </a:p>
      </c:txPr>
    </c:legend>
    <c:plotVisOnly val="1"/>
    <c:dispBlanksAs val="zero"/>
    <c:showDLblsOverMax val="1"/>
  </c:chart>
  <c:spPr>
    <a:blipFill rotWithShape="0">
      <a:blip xmlns:r="http://schemas.openxmlformats.org/officeDocument/2006/relationships" r:embed="rId1"/>
      <a:stretch>
        <a:fillRect/>
      </a:stretch>
    </a:blipFill>
    <a:ln w="9360">
      <a:solidFill>
        <a:srgbClr val="FFFFFF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168442</xdr:colOff>
      <xdr:row>0</xdr:row>
      <xdr:rowOff>147889</xdr:rowOff>
    </xdr:from>
    <xdr:to>
      <xdr:col>2</xdr:col>
      <xdr:colOff>671117</xdr:colOff>
      <xdr:row>0</xdr:row>
      <xdr:rowOff>834439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9FE84C95-05D4-48A7-BB5D-1B2CF83B1447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68442" y="147889"/>
          <a:ext cx="2512450" cy="68655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414720</xdr:colOff>
      <xdr:row>8</xdr:row>
      <xdr:rowOff>129600</xdr:rowOff>
    </xdr:from>
    <xdr:to>
      <xdr:col>3</xdr:col>
      <xdr:colOff>3655800</xdr:colOff>
      <xdr:row>32</xdr:row>
      <xdr:rowOff>54720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0</xdr:col>
      <xdr:colOff>0</xdr:colOff>
      <xdr:row>0</xdr:row>
      <xdr:rowOff>0</xdr:rowOff>
    </xdr:from>
    <xdr:to>
      <xdr:col>0</xdr:col>
      <xdr:colOff>2512450</xdr:colOff>
      <xdr:row>1</xdr:row>
      <xdr:rowOff>38850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070C9784-9687-4163-9F39-E101EE42DD34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0" y="0"/>
          <a:ext cx="2512450" cy="68655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2183040</xdr:colOff>
      <xdr:row>30</xdr:row>
      <xdr:rowOff>104760</xdr:rowOff>
    </xdr:from>
    <xdr:to>
      <xdr:col>1</xdr:col>
      <xdr:colOff>3819000</xdr:colOff>
      <xdr:row>38</xdr:row>
      <xdr:rowOff>17640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AF37E71-844A-4345-B932-C11609D14D92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983140" y="6457935"/>
          <a:ext cx="1254960" cy="12082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inkedin.com/in/dawid-kaczmarczyk-945246276/" TargetMode="External"/><Relationship Id="rId2" Type="http://schemas.openxmlformats.org/officeDocument/2006/relationships/hyperlink" Target="mailto:dawkaczradiatus@gmail.com" TargetMode="External"/><Relationship Id="rId1" Type="http://schemas.openxmlformats.org/officeDocument/2006/relationships/hyperlink" Target="https://bip.ure.gov.pl/bip/taryfy-i-inne-decyzje-b/energia-elektryczna/4367,Taryfy-opublikowane-w-2023-r.html" TargetMode="External"/><Relationship Id="rId6" Type="http://schemas.openxmlformats.org/officeDocument/2006/relationships/drawing" Target="../drawings/drawing3.xml"/><Relationship Id="rId5" Type="http://schemas.openxmlformats.org/officeDocument/2006/relationships/hyperlink" Target="https://www.paypal.com/donate/?hosted_button_id=QRHRFCXLET73E" TargetMode="External"/><Relationship Id="rId4" Type="http://schemas.openxmlformats.org/officeDocument/2006/relationships/hyperlink" Target="https://poradniaoze.com/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ogle.com/url?sa=t&amp;rct=j&amp;q=&amp;esrc=s&amp;source=web&amp;cd=&amp;ved=2ahUKEwjjpbr-xbz8AhXN87sIHYbKBF0QFnoECBcQAQ&amp;url=https%3A%2F%2Fwww.tauron.pl%2F-%2Fmedia%2Fformularze-i-wnioski%2Fpdf%2Fwoz-pzo%2Fts%2Fts-gd-woz-wniosek-o-zawarcie-umowy-e.ashx&amp;usg=AOvVaw1c" TargetMode="External"/><Relationship Id="rId2" Type="http://schemas.openxmlformats.org/officeDocument/2006/relationships/hyperlink" Target="https://www.google.com/url?sa=t&amp;rct=j&amp;q=&amp;esrc=s&amp;source=web&amp;cd=&amp;cad=rja&amp;uact=8&amp;ved=2ahUKEwjKnt2Sx7z8AhXWUXcKHR8YDq0QFnoECAkQAQ&amp;url=https%3A%2F%2Fwww.energa.pl%2Fdam%2Fjcr%3Abd64664d-e899-4dd6-9b3c-e16d762fcc7d%2FRegulamin%2520Oferty%2520Podstawowej%2520202" TargetMode="External"/><Relationship Id="rId1" Type="http://schemas.openxmlformats.org/officeDocument/2006/relationships/hyperlink" Target="https://www.enea.pl/dladomu/obsluga_klienta_i_kontakt/2023/taryfa-g-tpa_od-01.01.2023-wraz-z-inf-dodatkowa-o-cenach-ustawowych.pdf" TargetMode="External"/><Relationship Id="rId4" Type="http://schemas.openxmlformats.org/officeDocument/2006/relationships/hyperlink" Target="https://www.google.com/url?sa=t&amp;rct=j&amp;q=&amp;esrc=s&amp;source=web&amp;cd=&amp;cad=rja&amp;uact=8&amp;ved=2ahUKEwiGk-_9xLz8AhUf8LsIHSLkCAoQFnoECCIQAQ&amp;url=https%3A%2F%2Fwww.gkpge.pl%2Fcontent%2Fdownload%2F43ed98a0b92ebb379c4cd43bb38ee1fe%2Ffile%2FCennik%2520taryfowy%2520energii%2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H95"/>
  <sheetViews>
    <sheetView showGridLines="0" tabSelected="1" zoomScale="85" zoomScaleNormal="85" workbookViewId="0">
      <selection activeCell="E1" sqref="E1:G1"/>
    </sheetView>
  </sheetViews>
  <sheetFormatPr defaultColWidth="12.28515625" defaultRowHeight="12.75" x14ac:dyDescent="0.2"/>
  <cols>
    <col min="1" max="1" width="14.85546875" customWidth="1"/>
    <col min="2" max="2" width="15.28515625" style="1" customWidth="1"/>
    <col min="3" max="4" width="15.140625" customWidth="1"/>
    <col min="5" max="5" width="15.5703125" customWidth="1"/>
    <col min="6" max="8" width="14.85546875" customWidth="1"/>
    <col min="9" max="9" width="14.85546875" style="126" customWidth="1"/>
    <col min="10" max="10" width="14.85546875" customWidth="1"/>
    <col min="11" max="11" width="14.85546875" style="2" customWidth="1"/>
    <col min="12" max="12" width="14.85546875" customWidth="1"/>
    <col min="13" max="55" width="12.5703125" customWidth="1"/>
    <col min="1016" max="1022" width="11.5703125" customWidth="1"/>
  </cols>
  <sheetData>
    <row r="1" spans="1:12" ht="91.5" customHeight="1" x14ac:dyDescent="0.2">
      <c r="A1" s="1"/>
      <c r="B1"/>
      <c r="E1" s="192" t="s">
        <v>174</v>
      </c>
      <c r="F1" s="192"/>
      <c r="G1" s="192"/>
      <c r="H1" s="3" t="s">
        <v>108</v>
      </c>
      <c r="I1" s="125"/>
      <c r="K1" s="5"/>
      <c r="L1" s="4"/>
    </row>
    <row r="2" spans="1:12" ht="12.95" customHeight="1" x14ac:dyDescent="0.2">
      <c r="B2" s="193"/>
      <c r="C2" s="193"/>
      <c r="D2" s="193"/>
      <c r="E2" s="193"/>
      <c r="F2" s="193"/>
      <c r="G2" s="193"/>
      <c r="H2" s="193"/>
      <c r="I2" s="193" t="s">
        <v>0</v>
      </c>
      <c r="J2" s="4"/>
      <c r="K2" s="5"/>
      <c r="L2" s="4"/>
    </row>
    <row r="3" spans="1:12" ht="29.25" customHeight="1" x14ac:dyDescent="0.2">
      <c r="A3" s="164" t="s">
        <v>1</v>
      </c>
      <c r="B3" s="164"/>
      <c r="C3" s="164"/>
      <c r="D3" s="164"/>
      <c r="E3" s="164"/>
      <c r="F3" s="164"/>
      <c r="G3" s="164"/>
      <c r="H3" s="164" t="s">
        <v>109</v>
      </c>
      <c r="K3" s="5"/>
      <c r="L3" s="4"/>
    </row>
    <row r="4" spans="1:12" ht="21" customHeight="1" x14ac:dyDescent="0.2">
      <c r="A4" s="194" t="s">
        <v>2</v>
      </c>
      <c r="B4" s="194" t="s">
        <v>3</v>
      </c>
      <c r="C4" s="64">
        <v>8000</v>
      </c>
      <c r="D4" s="36" t="s">
        <v>4</v>
      </c>
      <c r="E4" s="195" t="s">
        <v>124</v>
      </c>
      <c r="F4" s="196"/>
      <c r="G4" s="196"/>
      <c r="H4" s="197"/>
      <c r="I4" s="127"/>
      <c r="K4"/>
    </row>
    <row r="5" spans="1:12" ht="40.5" customHeight="1" x14ac:dyDescent="0.2">
      <c r="A5" s="194" t="s">
        <v>5</v>
      </c>
      <c r="B5" s="194" t="s">
        <v>3</v>
      </c>
      <c r="C5" s="64">
        <v>1500</v>
      </c>
      <c r="D5" s="36" t="s">
        <v>4</v>
      </c>
      <c r="E5" s="198" t="s">
        <v>128</v>
      </c>
      <c r="F5" s="199"/>
      <c r="G5" s="199"/>
      <c r="H5" s="200"/>
      <c r="I5" s="127"/>
      <c r="J5" s="6"/>
      <c r="K5" s="141"/>
      <c r="L5" s="6"/>
    </row>
    <row r="6" spans="1:12" ht="22.9" customHeight="1" x14ac:dyDescent="0.2">
      <c r="A6" s="194" t="s">
        <v>6</v>
      </c>
      <c r="B6" s="194" t="s">
        <v>3</v>
      </c>
      <c r="C6" s="65" t="s">
        <v>55</v>
      </c>
      <c r="D6" s="201" t="str">
        <f>IF(OR(E21="ZŁA TARFYFA",E25="ZŁA TARYFA"),"BŁĄD! Proszę wybrać inną taryfę lub dystrybutora","")</f>
        <v/>
      </c>
      <c r="E6" s="198" t="s">
        <v>7</v>
      </c>
      <c r="F6" s="199"/>
      <c r="G6" s="199"/>
      <c r="H6" s="200"/>
      <c r="J6" s="6"/>
      <c r="K6"/>
    </row>
    <row r="7" spans="1:12" ht="22.9" customHeight="1" x14ac:dyDescent="0.2">
      <c r="A7" s="194" t="s">
        <v>8</v>
      </c>
      <c r="B7" s="194" t="s">
        <v>3</v>
      </c>
      <c r="C7" s="65" t="s">
        <v>55</v>
      </c>
      <c r="D7" s="202"/>
      <c r="E7" s="198" t="s">
        <v>7</v>
      </c>
      <c r="F7" s="199"/>
      <c r="G7" s="199"/>
      <c r="H7" s="200"/>
      <c r="J7" s="130"/>
      <c r="K7" s="130"/>
      <c r="L7" s="130"/>
    </row>
    <row r="8" spans="1:12" ht="19.5" customHeight="1" x14ac:dyDescent="0.2">
      <c r="A8" s="194" t="s">
        <v>10</v>
      </c>
      <c r="B8" s="194" t="s">
        <v>3</v>
      </c>
      <c r="C8" s="65" t="s">
        <v>11</v>
      </c>
      <c r="D8" s="203"/>
      <c r="E8" s="198" t="s">
        <v>7</v>
      </c>
      <c r="F8" s="199"/>
      <c r="G8" s="199"/>
      <c r="H8" s="200"/>
      <c r="J8" s="123"/>
      <c r="K8" s="130"/>
      <c r="L8" s="123"/>
    </row>
    <row r="9" spans="1:12" ht="25.5" hidden="1" customHeight="1" x14ac:dyDescent="0.2">
      <c r="A9" s="56"/>
      <c r="B9" s="56"/>
      <c r="C9" s="65" t="b">
        <f>IF(OR(C8="G12",C8="G12p",C8="G12w",C8="G12n",C8="G12r",C8="G13"),TRUE(),FALSE())</f>
        <v>0</v>
      </c>
      <c r="D9" s="37" t="b">
        <f>IF(C8="G13",TRUE(),FALSE())</f>
        <v>0</v>
      </c>
      <c r="E9" s="38"/>
      <c r="F9" s="38"/>
      <c r="G9" s="38"/>
      <c r="H9" s="38"/>
      <c r="J9" s="123"/>
      <c r="K9" s="123"/>
      <c r="L9" s="123"/>
    </row>
    <row r="10" spans="1:12" ht="26.25" customHeight="1" x14ac:dyDescent="0.2">
      <c r="A10" s="194" t="str">
        <f>IF($C$20,"Ile procent prądu pobierasz w droższej strefie?",IF($E$20,"Ile procent pobierasz w droższej strefie przed południowej?",""))</f>
        <v/>
      </c>
      <c r="B10" s="194" t="s">
        <v>3</v>
      </c>
      <c r="C10" s="66">
        <v>0.35</v>
      </c>
      <c r="D10" s="38" t="str">
        <f>IF(OR(B8="g13",B8="g12"),"WYPEŁNIJ","")</f>
        <v/>
      </c>
      <c r="E10" s="198" t="s">
        <v>12</v>
      </c>
      <c r="F10" s="199"/>
      <c r="G10" s="199"/>
      <c r="H10" s="200"/>
      <c r="J10" s="123"/>
      <c r="K10" s="123"/>
      <c r="L10" s="123"/>
    </row>
    <row r="11" spans="1:12" ht="26.25" customHeight="1" x14ac:dyDescent="0.2">
      <c r="A11" s="194" t="str">
        <f>IF($E$20,"Ile procent pobierasz w droższej strefie po południowej?","")</f>
        <v/>
      </c>
      <c r="B11" s="194" t="s">
        <v>3</v>
      </c>
      <c r="C11" s="66">
        <f>IF(C10&gt;50%,5%,30%)</f>
        <v>0.3</v>
      </c>
      <c r="D11" s="38" t="str">
        <f>IF(B8="g13","WYPEŁNIJ","")</f>
        <v/>
      </c>
      <c r="E11" s="198" t="s">
        <v>13</v>
      </c>
      <c r="F11" s="199"/>
      <c r="G11" s="199"/>
      <c r="H11" s="200"/>
      <c r="J11" s="123"/>
      <c r="K11" s="123"/>
      <c r="L11" s="123"/>
    </row>
    <row r="12" spans="1:12" ht="26.25" customHeight="1" x14ac:dyDescent="0.2">
      <c r="A12" s="194" t="str">
        <f>IF($C$20,"Ile procent prądu pobierasz w tańszej strefie?",IF($E$20,"Ile procent pobierasz w tańszej strefie?",""))</f>
        <v/>
      </c>
      <c r="B12" s="194" t="s">
        <v>3</v>
      </c>
      <c r="C12" s="62">
        <f>IF(LEFT(C8,3)="G12",100%-C10,IF(C8="G13",100%-C10-C11,0))</f>
        <v>0</v>
      </c>
      <c r="D12" s="38"/>
      <c r="E12" s="198" t="s">
        <v>12</v>
      </c>
      <c r="F12" s="199"/>
      <c r="G12" s="199"/>
      <c r="H12" s="200"/>
      <c r="K12"/>
    </row>
    <row r="13" spans="1:12" ht="22.9" customHeight="1" x14ac:dyDescent="0.2">
      <c r="A13" s="194" t="s">
        <v>14</v>
      </c>
      <c r="B13" s="194" t="s">
        <v>3</v>
      </c>
      <c r="C13" s="65" t="s">
        <v>190</v>
      </c>
      <c r="D13" s="38"/>
      <c r="E13" s="198" t="s">
        <v>7</v>
      </c>
      <c r="F13" s="199"/>
      <c r="G13" s="199"/>
      <c r="H13" s="200"/>
      <c r="J13" s="124"/>
      <c r="K13" s="124"/>
      <c r="L13" s="124"/>
    </row>
    <row r="14" spans="1:12" ht="36" customHeight="1" x14ac:dyDescent="0.2">
      <c r="A14" s="194" t="s">
        <v>15</v>
      </c>
      <c r="B14" s="194" t="s">
        <v>3</v>
      </c>
      <c r="C14" s="97" t="s">
        <v>16</v>
      </c>
      <c r="D14" s="91" t="str">
        <f>IF(C43="zły okres rozliczeniowy","Wybierz inny okres rozliczeniowy!","")</f>
        <v/>
      </c>
      <c r="E14" s="198" t="s">
        <v>7</v>
      </c>
      <c r="F14" s="199"/>
      <c r="G14" s="199"/>
      <c r="H14" s="200"/>
      <c r="K14"/>
    </row>
    <row r="15" spans="1:12" ht="9.75" hidden="1" customHeight="1" x14ac:dyDescent="0.2">
      <c r="A15" s="35"/>
      <c r="B15" s="35"/>
      <c r="C15" s="39"/>
      <c r="D15" s="39"/>
      <c r="E15" s="40"/>
      <c r="F15" s="40"/>
      <c r="G15" s="40"/>
      <c r="H15" s="40"/>
      <c r="K15"/>
    </row>
    <row r="16" spans="1:12" ht="12.2" customHeight="1" x14ac:dyDescent="0.2">
      <c r="B16"/>
      <c r="K16"/>
    </row>
    <row r="17" spans="1:11" ht="32.25" customHeight="1" x14ac:dyDescent="0.2">
      <c r="A17" s="164" t="s">
        <v>122</v>
      </c>
      <c r="B17" s="164"/>
      <c r="C17" s="164"/>
      <c r="D17" s="164"/>
      <c r="E17" s="164"/>
      <c r="F17" s="164"/>
      <c r="G17" s="164"/>
      <c r="H17" s="164" t="s">
        <v>109</v>
      </c>
      <c r="K17"/>
    </row>
    <row r="18" spans="1:11" ht="45.75" customHeight="1" x14ac:dyDescent="0.2">
      <c r="A18" s="185"/>
      <c r="B18" s="186"/>
      <c r="C18" s="178" t="s">
        <v>111</v>
      </c>
      <c r="D18" s="178"/>
      <c r="E18" s="178" t="s">
        <v>110</v>
      </c>
      <c r="F18" s="179" t="s">
        <v>123</v>
      </c>
      <c r="G18" s="180"/>
      <c r="H18" s="181"/>
      <c r="K18"/>
    </row>
    <row r="19" spans="1:11" ht="21.75" customHeight="1" x14ac:dyDescent="0.2">
      <c r="A19" s="187"/>
      <c r="B19" s="188"/>
      <c r="C19" s="59" t="s">
        <v>17</v>
      </c>
      <c r="D19" s="59" t="s">
        <v>18</v>
      </c>
      <c r="E19" s="178"/>
      <c r="F19" s="182"/>
      <c r="G19" s="183"/>
      <c r="H19" s="184"/>
      <c r="K19"/>
    </row>
    <row r="20" spans="1:11" ht="43.5" hidden="1" customHeight="1" x14ac:dyDescent="0.2">
      <c r="A20" s="43"/>
      <c r="B20" s="43"/>
      <c r="C20" s="43" t="b">
        <f>IF(LEFT(C8,3)="G12",TRUE())</f>
        <v>0</v>
      </c>
      <c r="D20" s="43"/>
      <c r="E20" s="43" t="b">
        <f>IF(LEFT(C8,3)="G13",TRUE())</f>
        <v>0</v>
      </c>
      <c r="F20" s="44"/>
      <c r="G20" s="44"/>
      <c r="H20" s="44"/>
      <c r="K20"/>
    </row>
    <row r="21" spans="1:11" ht="24" customHeight="1" x14ac:dyDescent="0.2">
      <c r="A21" s="157" t="str">
        <f>"Koszt energii czynnej (wybrany sprzedawca: "&amp;C7&amp;")"</f>
        <v>Koszt energii czynnej (wybrany sprzedawca: Enea)</v>
      </c>
      <c r="B21" s="57" t="str">
        <f>IF($C$20,$C8&amp;" szczyt",IF($E$20,$C8&amp;" szczyt przed poł","G11"))</f>
        <v>G11</v>
      </c>
      <c r="C21" s="45">
        <f>IF($B21="","",IF(INDEX('Koszt energii czynnej'!$D$6:$I$22,MATCH($B21,'Koszt energii czynnej'!$D$6:$D$22,0),MATCH($C$7,'Koszt energii czynnej'!$D$6:$I$6,0))&lt;0.412,INDEX('Koszt energii czynnej'!$D$6:$I$22,MATCH($B21,'Koszt energii czynnej'!$D$6:$D$22,0),MATCH($C$7,'Koszt energii czynnej'!$D$6:$I$6,0)),0.412))</f>
        <v>0.41199999999999998</v>
      </c>
      <c r="D21" s="74">
        <f>IF($B21="","",IF(INDEX('Koszt energii czynnej'!$D$24:$I$40,MATCH($B21,'Koszt energii czynnej'!$D$24:$D$40,0),MATCH($C$7,'Koszt energii czynnej'!$D$24:$I$24,0))&gt;0.693,0.693,INDEX('Koszt energii czynnej'!$D$24:$I$40,MATCH($B21,'Koszt energii czynnej'!$D$24:$D$40,0),MATCH($C$7,'Koszt energii czynnej'!$D$24:$I$24,0))))</f>
        <v>0.69299999999999995</v>
      </c>
      <c r="E21" s="45">
        <f>IF($B21="","",MIN(0.5,INDEX('Koszt energii czynnej'!$D$42:$I$57,MATCH($B21,'Koszt energii czynnej'!$D$42:$D$57,0),MATCH($C$7,'Koszt energii czynnej'!$D$42:$I$42,0))))</f>
        <v>0.5</v>
      </c>
      <c r="F21" s="146" t="s">
        <v>19</v>
      </c>
      <c r="G21" s="146"/>
      <c r="H21" s="146"/>
      <c r="K21"/>
    </row>
    <row r="22" spans="1:11" ht="24" customHeight="1" x14ac:dyDescent="0.2">
      <c r="A22" s="157" t="str">
        <f>IF($C$20,"Koszt energii czynnej "&amp;C8&amp;" poza szczytem",IF($E$20,"Koszt energii czynnej "&amp;C8&amp;" szczyt po poł",""))</f>
        <v/>
      </c>
      <c r="B22" s="58" t="str">
        <f>IF($C$20,$C8&amp;" poza szczytem",IF($E$20,$C8&amp;" szczyt po poł",""))</f>
        <v/>
      </c>
      <c r="C22" s="45" t="str">
        <f>IF($B22="","",IF(INDEX('Koszt energii czynnej'!$D$6:$I$22,MATCH($B22,'Koszt energii czynnej'!$D$6:$D$22,0),MATCH($C$7,'Koszt energii czynnej'!$D$6:$I$6,0))&lt;0.412,INDEX('Koszt energii czynnej'!$D$6:$I$22,MATCH($B22,'Koszt energii czynnej'!$D$6:$D$22,0),MATCH($C$7,'Koszt energii czynnej'!$D$6:$I$6,0)),0.412))</f>
        <v/>
      </c>
      <c r="D22" s="45" t="str">
        <f>IF($B22="","",IF(INDEX('Koszt energii czynnej'!$D$24:$I$40,MATCH($B22,'Koszt energii czynnej'!$D$24:$D$40,0),MATCH($C$7,'Koszt energii czynnej'!$D$24:$I$24,0))&gt;0.693,0.693,INDEX('Koszt energii czynnej'!$D$24:$I$40,MATCH($B22,'Koszt energii czynnej'!$D$24:$D$40,0),MATCH($C$7,'Koszt energii czynnej'!$D$24:$I$24,0))))</f>
        <v/>
      </c>
      <c r="E22" s="45" t="str">
        <f>IF($B22="","",MIN(0.5,INDEX('Koszt energii czynnej'!$D$42:$I$57,MATCH($B22,'Koszt energii czynnej'!$D$42:$D$57,0),MATCH($C$7,'Koszt energii czynnej'!$D$42:$I$42,0))))</f>
        <v/>
      </c>
      <c r="F22" s="146"/>
      <c r="G22" s="146"/>
      <c r="H22" s="146"/>
      <c r="K22"/>
    </row>
    <row r="23" spans="1:11" x14ac:dyDescent="0.2">
      <c r="A23" s="157" t="str">
        <f>IF(C8="G13","Koszt energii czynnej G13 poza szczytem","")</f>
        <v/>
      </c>
      <c r="B23" s="58" t="str">
        <f>IF(C8="G13","G13 poza szczytem","")</f>
        <v/>
      </c>
      <c r="C23" s="45" t="str">
        <f>IF($B23="","",INDEX('Koszt energii czynnej'!$D$6:$I$22,MATCH($B23,'Koszt energii czynnej'!$D$6:$D$22,0),MATCH($C$7,'Koszt energii czynnej'!$D$6:$I$6,0)))</f>
        <v/>
      </c>
      <c r="D23" s="45" t="str">
        <f>IF($B23="","",IF(INDEX('Koszt energii czynnej'!$D$24:$I$40,MATCH($B23,'Koszt energii czynnej'!$D$24:$D$40,0),MATCH($C$7,'Koszt energii czynnej'!$D$24:$I$24,0))&gt;0.693,0.693,INDEX('Koszt energii czynnej'!$D$24:$I$40,MATCH($B23,'Koszt energii czynnej'!$D$24:$D$40,0),MATCH($C$7,'Koszt energii czynnej'!$D$24:$I$24,0))))</f>
        <v/>
      </c>
      <c r="E23" s="45" t="str">
        <f>IF($B23="","",MIN(0.5,INDEX('Koszt energii czynnej'!$D$42:$I$57,MATCH($B23,'Koszt energii czynnej'!$D$42:$D$57,0),MATCH($C$7,'Koszt energii czynnej'!$D$42:$I$42,0))))</f>
        <v/>
      </c>
      <c r="F23" s="146"/>
      <c r="G23" s="146"/>
      <c r="H23" s="146"/>
      <c r="K23"/>
    </row>
    <row r="24" spans="1:11" ht="29.25" hidden="1" customHeight="1" x14ac:dyDescent="0.2">
      <c r="A24" s="157"/>
      <c r="B24" s="58" t="s">
        <v>20</v>
      </c>
      <c r="C24" s="45">
        <f>IF($C$20,(C21*$C$10)+(C22*$C$12),IF($E$20,(C21*$C$10)+(C22*$C$11)+(C23*$C$12),C$21))</f>
        <v>0.41199999999999998</v>
      </c>
      <c r="D24" s="45">
        <f>IF($C$20,(D21*$C$10)+(D22*$C$12),IF($E$20,(D21*$C$10)+(D22*$C$11)+(D23*$C$12),D$21))</f>
        <v>0.69299999999999995</v>
      </c>
      <c r="E24" s="45">
        <f>IF($C$20,(E21*$C$10)+(E22*$C$12),IF($E$20,(E21*$C$10)+(E22*$C$11)+(E23*$C$12),E$21))</f>
        <v>0.5</v>
      </c>
      <c r="F24" s="47"/>
      <c r="G24" s="46"/>
      <c r="H24" s="46"/>
      <c r="K24"/>
    </row>
    <row r="25" spans="1:11" ht="24" customHeight="1" x14ac:dyDescent="0.2">
      <c r="A25" s="157" t="str">
        <f>"Składnik zmienny stawki sieciowej (wybrany dystrybutor: "&amp;C6&amp;")"</f>
        <v>Składnik zmienny stawki sieciowej (wybrany dystrybutor: Enea)</v>
      </c>
      <c r="B25" s="57" t="str">
        <f>IF($C$20,C8&amp;" szczyt",IF($E$20,C8&amp;" szczyt przed poł","G11"))</f>
        <v>G11</v>
      </c>
      <c r="C25" s="45">
        <f>IF($B21="","",INDEX('Składnik zmienny'!$C$5:$H$20,MATCH($B25,'Składnik zmienny'!$C$5:$C$20,0),MATCH($C$6,'Składnik zmienny'!$C$5:$H$5,0)))</f>
        <v>0.17449999999999999</v>
      </c>
      <c r="D25" s="45">
        <f>IF($B21="","",INDEX('Składnik zmienny'!$C$22:$H$37,MATCH($B25,'Składnik zmienny'!$C$22:$C$37,0),MATCH($C$6,'Składnik zmienny'!$C$22:$H$22,0)))</f>
        <v>0.26910000000000001</v>
      </c>
      <c r="E25" s="45">
        <f>IF($B21="","",INDEX('Składnik zmienny'!$C$39:$H$54,MATCH($B25,'Składnik zmienny'!$C$39:$C$54,0),MATCH($C$6,'Składnik zmienny'!$C$39:$H$39,0)))</f>
        <v>0.24859999999999999</v>
      </c>
      <c r="F25" s="146" t="s">
        <v>19</v>
      </c>
      <c r="G25" s="146"/>
      <c r="H25" s="146"/>
      <c r="K25"/>
    </row>
    <row r="26" spans="1:11" ht="24" customHeight="1" x14ac:dyDescent="0.2">
      <c r="A26" s="157" t="str">
        <f>IF($C$20,"Koszt energii czynnej "&amp;C13&amp;" poza szczytem",IF($E$20,"Koszt energii czynnej "&amp;C13&amp;" szczyt po poł",""))</f>
        <v/>
      </c>
      <c r="B26" s="58" t="str">
        <f>IF($C$20,C8&amp;" poza szczytem",IF($E$20,$C$8&amp;" szczyt po poł",""))</f>
        <v/>
      </c>
      <c r="C26" s="45" t="str">
        <f>IF($B22="","",INDEX('Składnik zmienny'!$C$5:$H$20,MATCH($B26,'Składnik zmienny'!$C$5:$C$20,0),MATCH($C$6,'Składnik zmienny'!$C$5:$H$5,0)))</f>
        <v/>
      </c>
      <c r="D26" s="45" t="str">
        <f>IF($B22="","",INDEX('Składnik zmienny'!$C$22:$H$37,MATCH($B26,'Składnik zmienny'!$C$22:$C$37,0),MATCH($C$6,'Składnik zmienny'!$C$22:$H$22,0)))</f>
        <v/>
      </c>
      <c r="E26" s="45" t="str">
        <f>IF($B22="","",INDEX('Składnik zmienny'!$C$39:$H$54,MATCH($B26,'Składnik zmienny'!$C$39:$C$54,0),MATCH($C$6,'Składnik zmienny'!$C$39:$H$39,0)))</f>
        <v/>
      </c>
      <c r="F26" s="146"/>
      <c r="G26" s="146"/>
      <c r="H26" s="146"/>
      <c r="K26"/>
    </row>
    <row r="27" spans="1:11" ht="24" customHeight="1" x14ac:dyDescent="0.2">
      <c r="A27" s="157" t="str">
        <f>IF(C13="G13","Koszt energii czynnej G13 poza szczytem","")</f>
        <v/>
      </c>
      <c r="B27" s="58" t="str">
        <f>IF($C$8="G13","G13 poza szczytem","")</f>
        <v/>
      </c>
      <c r="C27" s="45" t="str">
        <f>IF($B23="","",INDEX('Składnik zmienny'!$C$5:$H$20,MATCH($B27,'Składnik zmienny'!$C$5:$C$20,0),MATCH($C$6,'Składnik zmienny'!$C$5:$H$5,0)))</f>
        <v/>
      </c>
      <c r="D27" s="45" t="str">
        <f>IF($B23="","",INDEX('Składnik zmienny'!$C$22:$H$37,MATCH($B27,'Składnik zmienny'!$C$22:$C$37,0),MATCH($C$6,'Składnik zmienny'!$C$22:$H$22,0)))</f>
        <v/>
      </c>
      <c r="E27" s="45" t="str">
        <f>IF($B23="","",INDEX('Składnik zmienny'!$C$39:$H$54,MATCH($B27,'Składnik zmienny'!$C$39:$C$54,0),MATCH($C$6,'Składnik zmienny'!$C$39:$H$39,0)))</f>
        <v/>
      </c>
      <c r="F27" s="146"/>
      <c r="G27" s="146"/>
      <c r="H27" s="146"/>
      <c r="K27"/>
    </row>
    <row r="28" spans="1:11" ht="30" hidden="1" customHeight="1" x14ac:dyDescent="0.2">
      <c r="A28" s="157"/>
      <c r="B28" s="58" t="s">
        <v>20</v>
      </c>
      <c r="C28" s="45">
        <f>IF($C$20,(C25*$C$10)+(C26*$C$12),IF($E$20,(C25*$C$10)+(C26*$C$11)+(C27*$C$12),C25))</f>
        <v>0.17449999999999999</v>
      </c>
      <c r="D28" s="45">
        <f>IF($C$20,(D25*$C$10)+(D26*$C$12),IF($E$20,(D25*$C$10)+(D26*$C$11)+(D27*$C$12),D25))</f>
        <v>0.26910000000000001</v>
      </c>
      <c r="E28" s="45">
        <f>IF($C$20,(E25*$C$10)+(E26*$C$12),IF($E$20,(E25*$C$10)+(E26*$C$11)+(E27*$C$12),E25))</f>
        <v>0.24859999999999999</v>
      </c>
      <c r="F28" s="47"/>
      <c r="G28" s="46"/>
      <c r="H28" s="46"/>
      <c r="K28"/>
    </row>
    <row r="29" spans="1:11" ht="16.350000000000001" customHeight="1" x14ac:dyDescent="0.2">
      <c r="A29" s="160" t="s">
        <v>21</v>
      </c>
      <c r="B29" s="160" t="s">
        <v>3</v>
      </c>
      <c r="C29" s="45">
        <v>9.4999999999999998E-3</v>
      </c>
      <c r="D29" s="45">
        <v>2.4199999999999999E-2</v>
      </c>
      <c r="E29" s="45">
        <v>3.1399999999999997E-2</v>
      </c>
      <c r="F29" s="146" t="s">
        <v>19</v>
      </c>
      <c r="G29" s="146"/>
      <c r="H29" s="146"/>
      <c r="K29"/>
    </row>
    <row r="30" spans="1:11" ht="16.350000000000001" customHeight="1" x14ac:dyDescent="0.2">
      <c r="A30" s="160" t="s">
        <v>22</v>
      </c>
      <c r="B30" s="160" t="s">
        <v>3</v>
      </c>
      <c r="C30" s="172">
        <v>0</v>
      </c>
      <c r="D30" s="172"/>
      <c r="E30" s="172">
        <v>0</v>
      </c>
      <c r="F30" s="146" t="s">
        <v>19</v>
      </c>
      <c r="G30" s="146"/>
      <c r="H30" s="146"/>
      <c r="K30"/>
    </row>
    <row r="31" spans="1:11" ht="16.350000000000001" customHeight="1" x14ac:dyDescent="0.2">
      <c r="A31" s="160" t="s">
        <v>23</v>
      </c>
      <c r="B31" s="160" t="s">
        <v>3</v>
      </c>
      <c r="C31" s="189">
        <v>6.1799999999999997E-3</v>
      </c>
      <c r="D31" s="190"/>
      <c r="E31" s="191"/>
      <c r="F31" s="146" t="s">
        <v>19</v>
      </c>
      <c r="G31" s="146"/>
      <c r="H31" s="146"/>
      <c r="K31"/>
    </row>
    <row r="32" spans="1:11" ht="16.350000000000001" customHeight="1" x14ac:dyDescent="0.2">
      <c r="A32" s="160" t="s">
        <v>24</v>
      </c>
      <c r="B32" s="160" t="s">
        <v>3</v>
      </c>
      <c r="C32" s="189">
        <v>5.0000000000000001E-3</v>
      </c>
      <c r="D32" s="190"/>
      <c r="E32" s="191"/>
      <c r="F32" s="146" t="s">
        <v>19</v>
      </c>
      <c r="G32" s="146"/>
      <c r="H32" s="146"/>
      <c r="K32"/>
    </row>
    <row r="33" spans="1:11" ht="16.350000000000001" customHeight="1" x14ac:dyDescent="0.2">
      <c r="A33" s="160" t="s">
        <v>25</v>
      </c>
      <c r="B33" s="160"/>
      <c r="C33" s="173">
        <v>0.23</v>
      </c>
      <c r="D33" s="173"/>
      <c r="E33" s="173">
        <v>0.23</v>
      </c>
      <c r="F33" s="146" t="s">
        <v>26</v>
      </c>
      <c r="G33" s="146"/>
      <c r="H33" s="146"/>
      <c r="K33"/>
    </row>
    <row r="34" spans="1:11" ht="44.25" customHeight="1" x14ac:dyDescent="0.2">
      <c r="A34" s="145" t="str">
        <f>IF($C$20,"Cena za 1 kWh brutto w droższej strefie",IF($E$20,"Cena za 1 kWh brutto w droższej strefie przedpołudniowej","Cena za 1 kWh brutto"))</f>
        <v>Cena za 1 kWh brutto</v>
      </c>
      <c r="B34" s="145"/>
      <c r="C34" s="48">
        <f>(C21+C25+C$29+$C$30+$C$31+$C$32)*(1+$C$46)</f>
        <v>0.74683139999999992</v>
      </c>
      <c r="D34" s="48">
        <f>(D21+D25+D$29+$C$30+$C$31+$C$32)*(1+$C$46)</f>
        <v>1.2269003999999999</v>
      </c>
      <c r="E34" s="48">
        <f>(E21+E25+E$29+$C$30+$C$31+$C$32)*(1+$C$46)</f>
        <v>0.97315139999999989</v>
      </c>
      <c r="F34" s="146" t="s">
        <v>19</v>
      </c>
      <c r="G34" s="146"/>
      <c r="H34" s="146"/>
      <c r="K34"/>
    </row>
    <row r="35" spans="1:11" ht="28.5" customHeight="1" x14ac:dyDescent="0.2">
      <c r="A35" s="145" t="str">
        <f>IF(OR($C$20,$E$20),"Cena za 1 kWh brutto w tańszej strefie","")</f>
        <v/>
      </c>
      <c r="B35" s="145"/>
      <c r="C35" s="48">
        <f t="shared" ref="C35:E36" si="0">IFERROR((C22+C26+C$29+$C$30+$C$31+$C$32)*(1+$C$46),0)</f>
        <v>0</v>
      </c>
      <c r="D35" s="48">
        <f t="shared" si="0"/>
        <v>0</v>
      </c>
      <c r="E35" s="48">
        <f t="shared" si="0"/>
        <v>0</v>
      </c>
      <c r="F35" s="146" t="s">
        <v>19</v>
      </c>
      <c r="G35" s="146"/>
      <c r="H35" s="146"/>
      <c r="K35"/>
    </row>
    <row r="36" spans="1:11" ht="28.5" customHeight="1" x14ac:dyDescent="0.2">
      <c r="A36" s="145" t="str">
        <f>IF($E$20,"Cena za 1 kWh brutto w droższej strefie popołudniowej","")</f>
        <v/>
      </c>
      <c r="B36" s="145"/>
      <c r="C36" s="48">
        <f t="shared" si="0"/>
        <v>0</v>
      </c>
      <c r="D36" s="48">
        <f t="shared" si="0"/>
        <v>0</v>
      </c>
      <c r="E36" s="48">
        <f t="shared" si="0"/>
        <v>0</v>
      </c>
      <c r="F36" s="146" t="s">
        <v>19</v>
      </c>
      <c r="G36" s="146"/>
      <c r="H36" s="146"/>
      <c r="K36"/>
    </row>
    <row r="37" spans="1:11" ht="12.2" customHeight="1" x14ac:dyDescent="0.2">
      <c r="B37"/>
      <c r="K37"/>
    </row>
    <row r="38" spans="1:11" ht="27.75" customHeight="1" x14ac:dyDescent="0.2">
      <c r="A38" s="164" t="s">
        <v>27</v>
      </c>
      <c r="B38" s="164"/>
      <c r="C38" s="164"/>
      <c r="D38" s="164"/>
      <c r="E38" s="164"/>
      <c r="F38" s="164"/>
      <c r="G38" s="164"/>
      <c r="H38" s="164" t="s">
        <v>109</v>
      </c>
      <c r="K38"/>
    </row>
    <row r="39" spans="1:11" ht="41.25" customHeight="1" x14ac:dyDescent="0.2">
      <c r="A39" s="185"/>
      <c r="B39" s="186"/>
      <c r="C39" s="178" t="s">
        <v>111</v>
      </c>
      <c r="D39" s="178"/>
      <c r="E39" s="178" t="s">
        <v>110</v>
      </c>
      <c r="F39" s="179" t="s">
        <v>123</v>
      </c>
      <c r="G39" s="180"/>
      <c r="H39" s="181"/>
      <c r="K39"/>
    </row>
    <row r="40" spans="1:11" ht="28.5" customHeight="1" x14ac:dyDescent="0.2">
      <c r="A40" s="187"/>
      <c r="B40" s="188"/>
      <c r="C40" s="59" t="s">
        <v>17</v>
      </c>
      <c r="D40" s="59" t="s">
        <v>18</v>
      </c>
      <c r="E40" s="178"/>
      <c r="F40" s="182"/>
      <c r="G40" s="183"/>
      <c r="H40" s="184"/>
      <c r="K40"/>
    </row>
    <row r="41" spans="1:11" ht="74.25" customHeight="1" x14ac:dyDescent="0.2">
      <c r="A41" s="160" t="s">
        <v>28</v>
      </c>
      <c r="B41" s="160" t="s">
        <v>29</v>
      </c>
      <c r="C41" s="174">
        <v>0</v>
      </c>
      <c r="D41" s="175"/>
      <c r="E41" s="176"/>
      <c r="F41" s="49" t="s">
        <v>30</v>
      </c>
      <c r="G41" s="177" t="s">
        <v>31</v>
      </c>
      <c r="H41" s="177"/>
      <c r="K41"/>
    </row>
    <row r="42" spans="1:11" ht="36.75" customHeight="1" x14ac:dyDescent="0.2">
      <c r="A42" s="157" t="str">
        <f>"Składnik stały stawki sieciowej (wybrany dystrybutor: "&amp;C6&amp;")"</f>
        <v>Składnik stały stawki sieciowej (wybrany dystrybutor: Enea)</v>
      </c>
      <c r="B42" s="157"/>
      <c r="C42" s="50">
        <f>INDEX('Składnik stały'!C5:J23,MATCH(C$8&amp;" "&amp;$C$13,'Składnik stały'!C5:C23,0),MATCH(C$6,'Składnik stały'!C5:J5,0))</f>
        <v>6.51</v>
      </c>
      <c r="D42" s="45">
        <f>INDEX('Składnik stały'!C25:J43,MATCH(C$8&amp;" "&amp;$C$13,'Składnik stały'!C25:C43,0),MATCH(C$6,'Składnik stały'!C25:J25,0))</f>
        <v>10.14</v>
      </c>
      <c r="E42" s="45">
        <f>INDEX('Składnik stały'!C45:J63,MATCH(C$8&amp;" "&amp;$C$13,'Składnik stały'!C45:C63,0),MATCH(C$6,'Składnik stały'!C45:J45,0))</f>
        <v>10.14</v>
      </c>
      <c r="F42" s="146" t="s">
        <v>30</v>
      </c>
      <c r="G42" s="146"/>
      <c r="H42" s="146"/>
      <c r="K42"/>
    </row>
    <row r="43" spans="1:11" ht="16.350000000000001" customHeight="1" x14ac:dyDescent="0.2">
      <c r="A43" s="160" t="s">
        <v>32</v>
      </c>
      <c r="B43" s="160" t="s">
        <v>3</v>
      </c>
      <c r="C43" s="172">
        <f>INDEX('Opłata abonamentowa'!D7:I15,MATCH(C$14,'Opłata abonamentowa'!D7:D15,0),MATCH($C$6,'Opłata abonamentowa'!D7:I7,0))</f>
        <v>1.92</v>
      </c>
      <c r="D43" s="172"/>
      <c r="E43" s="172" t="e">
        <f>INDEX(#REF!,MATCH($C$14,#REF!),MATCH($C$6,#REF!))</f>
        <v>#REF!</v>
      </c>
      <c r="F43" s="146" t="s">
        <v>30</v>
      </c>
      <c r="G43" s="146"/>
      <c r="H43" s="146"/>
      <c r="K43"/>
    </row>
    <row r="44" spans="1:11" ht="16.350000000000001" customHeight="1" x14ac:dyDescent="0.2">
      <c r="A44" s="160" t="s">
        <v>33</v>
      </c>
      <c r="B44" s="160" t="s">
        <v>29</v>
      </c>
      <c r="C44" s="172">
        <f>IF(C4&lt;500,0.02,IF(C4&lt;1200,0.1,0.33))</f>
        <v>0.33</v>
      </c>
      <c r="D44" s="172"/>
      <c r="E44" s="172">
        <v>0.33</v>
      </c>
      <c r="F44" s="146" t="s">
        <v>30</v>
      </c>
      <c r="G44" s="146"/>
      <c r="H44" s="146"/>
      <c r="K44"/>
    </row>
    <row r="45" spans="1:11" ht="16.350000000000001" customHeight="1" x14ac:dyDescent="0.2">
      <c r="A45" s="160" t="s">
        <v>34</v>
      </c>
      <c r="B45" s="160" t="s">
        <v>3</v>
      </c>
      <c r="C45" s="172">
        <f>IF(C4&lt;500,2.66,IF(C4&lt;1200,6.39,IF(C4&lt;2800,10.64,14.9)))</f>
        <v>14.9</v>
      </c>
      <c r="D45" s="172"/>
      <c r="E45" s="172">
        <v>13.25</v>
      </c>
      <c r="F45" s="146" t="s">
        <v>30</v>
      </c>
      <c r="G45" s="146"/>
      <c r="H45" s="146"/>
      <c r="K45"/>
    </row>
    <row r="46" spans="1:11" ht="16.350000000000001" customHeight="1" x14ac:dyDescent="0.2">
      <c r="A46" s="160" t="s">
        <v>25</v>
      </c>
      <c r="B46" s="160"/>
      <c r="C46" s="173">
        <v>0.23</v>
      </c>
      <c r="D46" s="173"/>
      <c r="E46" s="173">
        <v>0.23</v>
      </c>
      <c r="F46" s="146" t="s">
        <v>26</v>
      </c>
      <c r="G46" s="146"/>
      <c r="H46" s="146"/>
      <c r="K46"/>
    </row>
    <row r="47" spans="1:11" ht="18.95" customHeight="1" x14ac:dyDescent="0.2">
      <c r="A47" s="145" t="s">
        <v>35</v>
      </c>
      <c r="B47" s="145"/>
      <c r="C47" s="51">
        <f>SUM(C41:C46)*(1+C46)</f>
        <v>29.384699999999999</v>
      </c>
      <c r="D47" s="51">
        <f>(C41+D42+C43+C44+C45)*(1+C46)</f>
        <v>33.566699999999997</v>
      </c>
      <c r="E47" s="51">
        <f>(C41+E42+C43+C44+C45)*(1+C46)</f>
        <v>33.566699999999997</v>
      </c>
      <c r="F47" s="146" t="s">
        <v>30</v>
      </c>
      <c r="G47" s="146"/>
      <c r="H47" s="146"/>
      <c r="K47"/>
    </row>
    <row r="48" spans="1:11" ht="12.2" customHeight="1" x14ac:dyDescent="0.2">
      <c r="B48"/>
      <c r="K48"/>
    </row>
    <row r="49" spans="1:11" ht="32.25" customHeight="1" x14ac:dyDescent="0.2">
      <c r="A49" s="164" t="s">
        <v>36</v>
      </c>
      <c r="B49" s="164"/>
      <c r="C49" s="164"/>
      <c r="D49" s="164"/>
      <c r="E49" s="164"/>
      <c r="F49" s="170" t="s">
        <v>119</v>
      </c>
      <c r="G49" s="171"/>
      <c r="H49" s="61"/>
      <c r="K49"/>
    </row>
    <row r="50" spans="1:11" ht="83.25" customHeight="1" x14ac:dyDescent="0.2">
      <c r="A50" s="165" t="s">
        <v>120</v>
      </c>
      <c r="B50" s="165" t="s">
        <v>29</v>
      </c>
      <c r="C50" s="98">
        <v>0.4</v>
      </c>
      <c r="D50" s="166" t="s">
        <v>117</v>
      </c>
      <c r="E50" s="167"/>
      <c r="F50" s="161" t="s">
        <v>173</v>
      </c>
      <c r="G50" s="161"/>
      <c r="H50" s="161"/>
      <c r="K50"/>
    </row>
    <row r="51" spans="1:11" ht="28.5" customHeight="1" x14ac:dyDescent="0.2">
      <c r="A51" s="160" t="s">
        <v>3</v>
      </c>
      <c r="B51" s="160" t="s">
        <v>3</v>
      </c>
      <c r="C51" s="98">
        <v>1000</v>
      </c>
      <c r="D51" s="166" t="s">
        <v>37</v>
      </c>
      <c r="E51" s="167"/>
      <c r="K51"/>
    </row>
    <row r="52" spans="1:11" ht="12.2" customHeight="1" x14ac:dyDescent="0.2">
      <c r="B52"/>
      <c r="K52"/>
    </row>
    <row r="53" spans="1:11" ht="38.25" customHeight="1" thickBot="1" x14ac:dyDescent="0.25">
      <c r="A53" s="168" t="str">
        <f>"Rachunek roczny za prąd "&amp;C7&amp;", taryfa "&amp;C8</f>
        <v>Rachunek roczny za prąd Enea, taryfa G11</v>
      </c>
      <c r="B53" s="168"/>
      <c r="C53" s="168"/>
      <c r="D53" s="169"/>
      <c r="E53" s="168"/>
      <c r="F53" s="168"/>
      <c r="G53" s="168"/>
      <c r="H53" s="168" t="s">
        <v>121</v>
      </c>
      <c r="K53"/>
    </row>
    <row r="54" spans="1:11" ht="57" customHeight="1" thickTop="1" x14ac:dyDescent="0.2">
      <c r="A54" s="157"/>
      <c r="B54" s="157"/>
      <c r="C54" s="158"/>
      <c r="D54" s="107" t="s">
        <v>153</v>
      </c>
      <c r="E54" s="101" t="s">
        <v>39</v>
      </c>
      <c r="F54" s="59" t="s">
        <v>40</v>
      </c>
      <c r="G54" s="59" t="s">
        <v>41</v>
      </c>
      <c r="H54" s="59" t="s">
        <v>115</v>
      </c>
      <c r="K54"/>
    </row>
    <row r="55" spans="1:11" ht="24.4" customHeight="1" x14ac:dyDescent="0.2">
      <c r="A55" s="157" t="s">
        <v>152</v>
      </c>
      <c r="B55" s="157"/>
      <c r="C55" s="158"/>
      <c r="D55" s="108"/>
      <c r="E55" s="102">
        <f>INT(IF(C4/1000&lt;2,2,C4/1000))</f>
        <v>8</v>
      </c>
      <c r="F55" s="99">
        <f>E55*1.25</f>
        <v>10</v>
      </c>
      <c r="G55" s="99">
        <f>F55</f>
        <v>10</v>
      </c>
      <c r="H55" s="99">
        <f>G55</f>
        <v>10</v>
      </c>
      <c r="I55" s="161"/>
      <c r="J55" s="161"/>
      <c r="K55" s="161"/>
    </row>
    <row r="56" spans="1:11" ht="37.35" customHeight="1" x14ac:dyDescent="0.2">
      <c r="A56" s="157" t="s">
        <v>42</v>
      </c>
      <c r="B56" s="157" t="s">
        <v>3</v>
      </c>
      <c r="C56" s="158"/>
      <c r="D56" s="109"/>
      <c r="E56" s="103">
        <f>E55*'Wyliczenia szczegółowe'!$C$51</f>
        <v>8000</v>
      </c>
      <c r="F56" s="100">
        <f>F55*'Wyliczenia szczegółowe'!$C$51</f>
        <v>10000</v>
      </c>
      <c r="G56" s="100">
        <f>G55*'Wyliczenia szczegółowe'!$C$51</f>
        <v>10000</v>
      </c>
      <c r="H56" s="100">
        <f>H55*'Wyliczenia szczegółowe'!$C$51</f>
        <v>10000</v>
      </c>
      <c r="K56"/>
    </row>
    <row r="57" spans="1:11" ht="23.65" customHeight="1" x14ac:dyDescent="0.2">
      <c r="A57" s="157" t="s">
        <v>43</v>
      </c>
      <c r="B57" s="157" t="s">
        <v>3</v>
      </c>
      <c r="C57" s="158"/>
      <c r="D57" s="110"/>
      <c r="E57" s="104">
        <v>0.25</v>
      </c>
      <c r="F57" s="39">
        <v>0.24</v>
      </c>
      <c r="G57" s="39">
        <v>0.6</v>
      </c>
      <c r="H57" s="39">
        <v>0.6</v>
      </c>
      <c r="I57" s="161"/>
      <c r="J57" s="161"/>
      <c r="K57" s="161"/>
    </row>
    <row r="58" spans="1:11" ht="15.75" customHeight="1" x14ac:dyDescent="0.2">
      <c r="A58" s="157" t="s">
        <v>189</v>
      </c>
      <c r="B58" s="157" t="s">
        <v>3</v>
      </c>
      <c r="C58" s="158" t="s">
        <v>3</v>
      </c>
      <c r="D58" s="111">
        <f>$C$4-(D56*D57)</f>
        <v>8000</v>
      </c>
      <c r="E58" s="105">
        <f>$C$4-(E56*E57)</f>
        <v>6000</v>
      </c>
      <c r="F58" s="52">
        <f>$C$4-(F56*F57)</f>
        <v>5600</v>
      </c>
      <c r="G58" s="52">
        <f>$C$4-(G56*G57)</f>
        <v>2000</v>
      </c>
      <c r="H58" s="52">
        <f>$C$4-(H56*H57)</f>
        <v>2000</v>
      </c>
      <c r="K58"/>
    </row>
    <row r="59" spans="1:11" ht="12.75" hidden="1" customHeight="1" x14ac:dyDescent="0.2">
      <c r="A59" s="157" t="s">
        <v>116</v>
      </c>
      <c r="B59" s="157" t="s">
        <v>3</v>
      </c>
      <c r="C59" s="158" t="s">
        <v>3</v>
      </c>
      <c r="D59" s="111" t="b">
        <f>IF($C$5&lt;(D58/2),TRUE())</f>
        <v>1</v>
      </c>
      <c r="E59" s="105" t="b">
        <f>IF($C$5&lt;(E58/2),TRUE())</f>
        <v>1</v>
      </c>
      <c r="F59" s="52" t="b">
        <f>IF($C$5&lt;(F58/2),TRUE())</f>
        <v>1</v>
      </c>
      <c r="G59" s="52" t="b">
        <f>IF($C$5&lt;(G58/2),TRUE())</f>
        <v>0</v>
      </c>
      <c r="H59" s="52" t="b">
        <f>IF($C$5&lt;(H58/2),TRUE())</f>
        <v>0</v>
      </c>
      <c r="K59"/>
    </row>
    <row r="60" spans="1:11" ht="12.75" customHeight="1" x14ac:dyDescent="0.2">
      <c r="A60" s="157" t="s">
        <v>177</v>
      </c>
      <c r="B60" s="160" t="s">
        <v>175</v>
      </c>
      <c r="C60" s="142" t="s">
        <v>3</v>
      </c>
      <c r="D60" s="112">
        <f>IF(D59,($C$5*$C$24)+(((D58/2)-$C$5)*$D$24)+((D58/2)*$E$24),((D58/2)*$C$24)+((D58/2)*$E$24))</f>
        <v>4350.5</v>
      </c>
      <c r="E60" s="131">
        <f>IF(E59,($C$5*$C$24)+(((E58/2)-$C$5)*$D$24)+((E58/2)*$E$24),((E58/2)*$C$24)+((E58/2)*$E$24))</f>
        <v>3157.5</v>
      </c>
      <c r="F60" s="53">
        <f>IF(F59,($C$5*$C$24)+(((F58/2)-$C$5)*$D$24)+((F58/2)*$E$24),((F58/2)*$C$24)+((F58/2)*$E$24))</f>
        <v>2918.9</v>
      </c>
      <c r="G60" s="53">
        <f>IF(G59,($C$5*$C$24)+(((G58/2)-$C$5)*$D$24)+((G58/2)*$E$24),((G58/2)*$C$24)+((G58/2)*$E$24))</f>
        <v>912</v>
      </c>
      <c r="H60" s="53">
        <f>IF(H59,($C$5*$C$24)+(((H58/2)-$C$5)*$D$24)+((H58/2)*$E$24),((H58/2)*$C$24)+((H58/2)*$E$24))</f>
        <v>912</v>
      </c>
      <c r="K60"/>
    </row>
    <row r="61" spans="1:11" ht="24.75" customHeight="1" x14ac:dyDescent="0.2">
      <c r="A61" s="157"/>
      <c r="B61" s="142" t="s">
        <v>182</v>
      </c>
      <c r="C61" s="144"/>
      <c r="D61" s="112">
        <f>D60*$C$33</f>
        <v>1000.615</v>
      </c>
      <c r="E61" s="132">
        <f t="shared" ref="E61:H61" si="1">E60*$C$33</f>
        <v>726.22500000000002</v>
      </c>
      <c r="F61" s="53">
        <f t="shared" si="1"/>
        <v>671.34700000000009</v>
      </c>
      <c r="G61" s="53">
        <f t="shared" si="1"/>
        <v>209.76000000000002</v>
      </c>
      <c r="H61" s="53">
        <f t="shared" si="1"/>
        <v>209.76000000000002</v>
      </c>
      <c r="K61"/>
    </row>
    <row r="62" spans="1:11" ht="12.75" customHeight="1" x14ac:dyDescent="0.2">
      <c r="A62" s="157"/>
      <c r="B62" s="160" t="s">
        <v>176</v>
      </c>
      <c r="C62" s="142" t="s">
        <v>3</v>
      </c>
      <c r="D62" s="112">
        <f>D60+D61</f>
        <v>5351.1149999999998</v>
      </c>
      <c r="E62" s="132">
        <f>E60+E61</f>
        <v>3883.7249999999999</v>
      </c>
      <c r="F62" s="53">
        <f>F60+F61</f>
        <v>3590.2470000000003</v>
      </c>
      <c r="G62" s="53">
        <f>G60+G61</f>
        <v>1121.76</v>
      </c>
      <c r="H62" s="53">
        <f>H60+H61</f>
        <v>1121.76</v>
      </c>
      <c r="K62"/>
    </row>
    <row r="63" spans="1:11" ht="12.75" customHeight="1" x14ac:dyDescent="0.2">
      <c r="A63" s="157"/>
      <c r="B63" s="160" t="s">
        <v>44</v>
      </c>
      <c r="C63" s="142" t="s">
        <v>3</v>
      </c>
      <c r="D63" s="113">
        <f>D56*(1-D57)*'Wyliczenia szczegółowe'!$C$50</f>
        <v>0</v>
      </c>
      <c r="E63" s="133">
        <f>E56*(1-E57)*'Wyliczenia szczegółowe'!$C$50</f>
        <v>2400</v>
      </c>
      <c r="F63" s="54">
        <f>F56*(1-F57)*'Wyliczenia szczegółowe'!$C$50</f>
        <v>3040</v>
      </c>
      <c r="G63" s="54">
        <f>G56*(1-G57)*'Wyliczenia szczegółowe'!$C$50</f>
        <v>1600</v>
      </c>
      <c r="H63" s="54">
        <f>H56*(1-H57)*('Wyliczenia szczegółowe'!$C$50*1.75)</f>
        <v>2800.0000000000005</v>
      </c>
      <c r="K63"/>
    </row>
    <row r="64" spans="1:11" ht="35.25" customHeight="1" x14ac:dyDescent="0.2">
      <c r="A64" s="157"/>
      <c r="B64" s="162" t="s">
        <v>184</v>
      </c>
      <c r="C64" s="163"/>
      <c r="D64" s="114">
        <f>MAX(D62-D63,D63*-0.2)</f>
        <v>5351.1149999999998</v>
      </c>
      <c r="E64" s="55">
        <f>MAX(E62-E63,E63*-0.2)</f>
        <v>1483.7249999999999</v>
      </c>
      <c r="F64" s="55">
        <f>MAX(F62-F63,F63*-0.2)</f>
        <v>550.2470000000003</v>
      </c>
      <c r="G64" s="55">
        <f>MAX(G62-G63,G63*-0.2)</f>
        <v>-320</v>
      </c>
      <c r="H64" s="55">
        <f>MAX(H62-H63,H63*-0.2)</f>
        <v>-560.00000000000011</v>
      </c>
      <c r="I64" s="127"/>
      <c r="J64" s="123"/>
      <c r="K64" s="123"/>
    </row>
    <row r="65" spans="1:11" ht="26.25" customHeight="1" x14ac:dyDescent="0.2">
      <c r="A65" s="159" t="s">
        <v>178</v>
      </c>
      <c r="B65" s="160" t="s">
        <v>45</v>
      </c>
      <c r="C65" s="142" t="s">
        <v>3</v>
      </c>
      <c r="D65" s="112">
        <f>IF(D59,($C$5*$C$28)+(((D58/2)-$C$5)*$D$28)+((D58/2)*$E$28),((D58/2)*$C$28)+((D58/2)*$E$28))</f>
        <v>1928.9</v>
      </c>
      <c r="E65" s="131">
        <f>IF(E59,($C$5*$C$28)+(((E58/2)-$C$5)*$D$28)+((E58/2)*$E$28),((E58/2)*$C$28)+((E58/2)*$E$28))</f>
        <v>1411.2</v>
      </c>
      <c r="F65" s="53">
        <f>IF(F59,($C$5*$C$28)+(((F58/2)-$C$5)*$D$28)+((F58/2)*$E$28),((F58/2)*$C$28)+((F58/2)*$E$28))</f>
        <v>1307.6599999999999</v>
      </c>
      <c r="G65" s="53">
        <f>IF(G59,($C$5*$C$28)+(((G58/2)-$C$5)*$D$28)+((G58/2)*$E$28),((G58/2)*$C$28)+((G58/2)*$E$28))</f>
        <v>423.1</v>
      </c>
      <c r="H65" s="53">
        <f>IF(H59,($C$5*$C$28)+(((H58/2)-$C$5)*$D$28)+((H58/2)*$E$28),((H58/2)*$C$28)+((H58/2)*$E$28))</f>
        <v>423.1</v>
      </c>
      <c r="I65" s="127"/>
      <c r="J65" s="7"/>
      <c r="K65" s="7"/>
    </row>
    <row r="66" spans="1:11" ht="12.75" customHeight="1" x14ac:dyDescent="0.2">
      <c r="A66" s="159"/>
      <c r="B66" s="160" t="s">
        <v>21</v>
      </c>
      <c r="C66" s="142" t="s">
        <v>3</v>
      </c>
      <c r="D66" s="112">
        <f>IF(D59,($C$5*$C$29)+(((D58/2)-$C$5)*$D$29)+((D58/2)*$E$29),((D58/2)*$C$29)+((D58/2)*$E$29))</f>
        <v>200.35</v>
      </c>
      <c r="E66" s="131">
        <f t="shared" ref="E66:H66" si="2">IF(E59,($C$5*$C$29)+(((E58/2)-$C$5)*$D$29)+((E58/2)*$E$29),((E58/2)*$C$29)+((E58/2)*$E$29))</f>
        <v>144.75</v>
      </c>
      <c r="F66" s="53">
        <f t="shared" si="2"/>
        <v>133.63</v>
      </c>
      <c r="G66" s="53">
        <f t="shared" si="2"/>
        <v>40.9</v>
      </c>
      <c r="H66" s="53">
        <f t="shared" si="2"/>
        <v>40.9</v>
      </c>
      <c r="I66" s="127"/>
      <c r="J66" s="7"/>
      <c r="K66" s="7"/>
    </row>
    <row r="67" spans="1:11" ht="12.75" customHeight="1" x14ac:dyDescent="0.2">
      <c r="A67" s="159"/>
      <c r="B67" s="160" t="s">
        <v>22</v>
      </c>
      <c r="C67" s="142" t="s">
        <v>3</v>
      </c>
      <c r="D67" s="113">
        <f>(D58*$E$30)</f>
        <v>0</v>
      </c>
      <c r="E67" s="133">
        <f>(E58*$E$30)</f>
        <v>0</v>
      </c>
      <c r="F67" s="54">
        <f>(F58*$E$30)</f>
        <v>0</v>
      </c>
      <c r="G67" s="54">
        <f>(G58*$E$30)</f>
        <v>0</v>
      </c>
      <c r="H67" s="54">
        <f>(H58*$E$30)</f>
        <v>0</v>
      </c>
      <c r="I67" s="127"/>
      <c r="J67" s="7"/>
      <c r="K67" s="7"/>
    </row>
    <row r="68" spans="1:11" ht="12.75" customHeight="1" x14ac:dyDescent="0.2">
      <c r="A68" s="159"/>
      <c r="B68" s="160" t="s">
        <v>23</v>
      </c>
      <c r="C68" s="142" t="s">
        <v>3</v>
      </c>
      <c r="D68" s="113">
        <f>(D58*$C$31)</f>
        <v>49.44</v>
      </c>
      <c r="E68" s="133">
        <f>(E58*$E$31)</f>
        <v>0</v>
      </c>
      <c r="F68" s="54">
        <f>(F58*$E$31)</f>
        <v>0</v>
      </c>
      <c r="G68" s="54">
        <f>(G58*$E$31)</f>
        <v>0</v>
      </c>
      <c r="H68" s="54">
        <f>(H58*$E$31)</f>
        <v>0</v>
      </c>
      <c r="J68" s="7"/>
      <c r="K68" s="7"/>
    </row>
    <row r="69" spans="1:11" ht="12.75" customHeight="1" x14ac:dyDescent="0.2">
      <c r="A69" s="159"/>
      <c r="B69" s="160" t="s">
        <v>24</v>
      </c>
      <c r="C69" s="142" t="s">
        <v>3</v>
      </c>
      <c r="D69" s="113">
        <f>(D58*$C$32)</f>
        <v>40</v>
      </c>
      <c r="E69" s="133">
        <f>(E58*$E$32)</f>
        <v>0</v>
      </c>
      <c r="F69" s="54">
        <f>(F58*$E$32)</f>
        <v>0</v>
      </c>
      <c r="G69" s="54">
        <f>(G58*$E$32)</f>
        <v>0</v>
      </c>
      <c r="H69" s="54">
        <f>(H58*$E$32)</f>
        <v>0</v>
      </c>
      <c r="K69" s="7"/>
    </row>
    <row r="70" spans="1:11" ht="12.75" hidden="1" customHeight="1" x14ac:dyDescent="0.2">
      <c r="A70" s="60"/>
      <c r="B70" s="157" t="s">
        <v>46</v>
      </c>
      <c r="C70" s="158"/>
      <c r="D70" s="111">
        <f>D58/12</f>
        <v>666.66666666666663</v>
      </c>
      <c r="E70" s="135">
        <f>E58/12</f>
        <v>500</v>
      </c>
      <c r="F70" s="52">
        <f>F58/12</f>
        <v>466.66666666666669</v>
      </c>
      <c r="G70" s="52">
        <f>G58/12</f>
        <v>166.66666666666666</v>
      </c>
      <c r="H70" s="52">
        <f>H58/12</f>
        <v>166.66666666666666</v>
      </c>
      <c r="K70" s="7"/>
    </row>
    <row r="71" spans="1:11" ht="12.75" hidden="1" customHeight="1" x14ac:dyDescent="0.2">
      <c r="A71" s="60"/>
      <c r="B71" s="157" t="s">
        <v>47</v>
      </c>
      <c r="C71" s="158"/>
      <c r="D71" s="111">
        <f>IF(D59,ROUND($C$5/D70,0),6)</f>
        <v>2</v>
      </c>
      <c r="E71" s="135">
        <f t="shared" ref="E71:H71" si="3">IF(E59,ROUND($C$5/E70,0),6)</f>
        <v>3</v>
      </c>
      <c r="F71" s="52">
        <f t="shared" si="3"/>
        <v>3</v>
      </c>
      <c r="G71" s="52">
        <f t="shared" si="3"/>
        <v>6</v>
      </c>
      <c r="H71" s="52">
        <f t="shared" si="3"/>
        <v>6</v>
      </c>
      <c r="K71" s="7"/>
    </row>
    <row r="72" spans="1:11" ht="12.75" customHeight="1" x14ac:dyDescent="0.2">
      <c r="A72" s="159" t="s">
        <v>179</v>
      </c>
      <c r="B72" s="160" t="s">
        <v>28</v>
      </c>
      <c r="C72" s="142" t="s">
        <v>29</v>
      </c>
      <c r="D72" s="113">
        <f>$C$41*12</f>
        <v>0</v>
      </c>
      <c r="E72" s="133">
        <f>$C$41*12</f>
        <v>0</v>
      </c>
      <c r="F72" s="54">
        <f>$C$41*12</f>
        <v>0</v>
      </c>
      <c r="G72" s="54">
        <f>$C$41*12</f>
        <v>0</v>
      </c>
      <c r="H72" s="54">
        <f>$C$41*12</f>
        <v>0</v>
      </c>
      <c r="K72" s="7"/>
    </row>
    <row r="73" spans="1:11" ht="12.75" customHeight="1" x14ac:dyDescent="0.2">
      <c r="A73" s="159"/>
      <c r="B73" s="160" t="s">
        <v>48</v>
      </c>
      <c r="C73" s="142" t="s">
        <v>3</v>
      </c>
      <c r="D73" s="113">
        <f>IF(D59,($C$42*D71)+((6-D71)*$D$42)+(6*$E$42),($C$42*D$71)+(6*$E$42))</f>
        <v>114.42</v>
      </c>
      <c r="E73" s="133">
        <f>IF(E59,($C$42*E71)+((6-E71)*$D$42)+(6*$E$42),($C$42*E$71)+(6*$E$42))</f>
        <v>110.79</v>
      </c>
      <c r="F73" s="54">
        <f>IF(F59,($C$42*F71)+((6-F71)*$D$42)+(6*$E$42),($C$42*F$71)+(6*$E$42))</f>
        <v>110.79</v>
      </c>
      <c r="G73" s="54">
        <f>IF(G59,($C$42*G71)+((6-G71)*$D$42)+(6*$E$42),($C$42*G$71)+(6*$E$42))</f>
        <v>99.9</v>
      </c>
      <c r="H73" s="54">
        <f>IF(H59,($C$42*H71)+((6-H71)*$D$42)+(6*$E$42),($C$42*H$71)+(6*$E$42))</f>
        <v>99.9</v>
      </c>
      <c r="K73" s="7"/>
    </row>
    <row r="74" spans="1:11" ht="12.75" customHeight="1" x14ac:dyDescent="0.2">
      <c r="A74" s="159"/>
      <c r="B74" s="160" t="s">
        <v>32</v>
      </c>
      <c r="C74" s="142" t="s">
        <v>3</v>
      </c>
      <c r="D74" s="113">
        <f>$C$43*12</f>
        <v>23.04</v>
      </c>
      <c r="E74" s="133">
        <f>$C$43*12</f>
        <v>23.04</v>
      </c>
      <c r="F74" s="54">
        <f>$C$43*12</f>
        <v>23.04</v>
      </c>
      <c r="G74" s="54">
        <f>$C$43*12</f>
        <v>23.04</v>
      </c>
      <c r="H74" s="54">
        <f>$C$43*12</f>
        <v>23.04</v>
      </c>
      <c r="J74" s="7"/>
      <c r="K74" s="7"/>
    </row>
    <row r="75" spans="1:11" ht="12.75" customHeight="1" x14ac:dyDescent="0.2">
      <c r="A75" s="159"/>
      <c r="B75" s="160" t="s">
        <v>33</v>
      </c>
      <c r="C75" s="142" t="s">
        <v>29</v>
      </c>
      <c r="D75" s="113">
        <f>$C$44*12</f>
        <v>3.96</v>
      </c>
      <c r="E75" s="133">
        <f>$C$44*12</f>
        <v>3.96</v>
      </c>
      <c r="F75" s="54">
        <f>$C$44*12</f>
        <v>3.96</v>
      </c>
      <c r="G75" s="54">
        <f>$C$44*12</f>
        <v>3.96</v>
      </c>
      <c r="H75" s="54">
        <f>$C$44*12</f>
        <v>3.96</v>
      </c>
      <c r="K75" s="7"/>
    </row>
    <row r="76" spans="1:11" ht="12.75" customHeight="1" x14ac:dyDescent="0.2">
      <c r="A76" s="159"/>
      <c r="B76" s="160" t="s">
        <v>34</v>
      </c>
      <c r="C76" s="142" t="s">
        <v>3</v>
      </c>
      <c r="D76" s="113">
        <f>$C$45*12</f>
        <v>178.8</v>
      </c>
      <c r="E76" s="133">
        <f>$C$45*12</f>
        <v>178.8</v>
      </c>
      <c r="F76" s="54">
        <f>$C$45*12</f>
        <v>178.8</v>
      </c>
      <c r="G76" s="54">
        <f>$C$45*12</f>
        <v>178.8</v>
      </c>
      <c r="H76" s="54">
        <f>$C$45*12</f>
        <v>178.8</v>
      </c>
      <c r="K76" s="7"/>
    </row>
    <row r="77" spans="1:11" ht="12.75" customHeight="1" x14ac:dyDescent="0.2">
      <c r="A77" s="142" t="s">
        <v>180</v>
      </c>
      <c r="B77" s="143"/>
      <c r="C77" s="144"/>
      <c r="D77" s="113">
        <f>SUM(D65:D76)-D70-D71</f>
        <v>2538.9100000000003</v>
      </c>
      <c r="E77" s="133">
        <f>SUM(E65:E76)-E70-E71</f>
        <v>1872.54</v>
      </c>
      <c r="F77" s="54">
        <f>SUM(F65:F76)-F70-F71</f>
        <v>1757.8799999999999</v>
      </c>
      <c r="G77" s="54">
        <f>SUM(G65:G76)-G70-G71</f>
        <v>769.69999999999993</v>
      </c>
      <c r="H77" s="54">
        <f>SUM(H65:H76)-H70-H71</f>
        <v>769.69999999999993</v>
      </c>
      <c r="K77"/>
    </row>
    <row r="78" spans="1:11" ht="12.75" customHeight="1" x14ac:dyDescent="0.2">
      <c r="A78" s="154" t="s">
        <v>181</v>
      </c>
      <c r="B78" s="155"/>
      <c r="C78" s="156"/>
      <c r="D78" s="113">
        <f>D77*$C$46</f>
        <v>583.94930000000011</v>
      </c>
      <c r="E78" s="140">
        <f>E77*$C$46</f>
        <v>430.68420000000003</v>
      </c>
      <c r="F78" s="54">
        <f>F77*$C$46</f>
        <v>404.31239999999997</v>
      </c>
      <c r="G78" s="54">
        <f>G77*$C$46</f>
        <v>177.03100000000001</v>
      </c>
      <c r="H78" s="54">
        <f>H77*$C$46</f>
        <v>177.03100000000001</v>
      </c>
      <c r="K78"/>
    </row>
    <row r="79" spans="1:11" ht="12.75" customHeight="1" x14ac:dyDescent="0.2">
      <c r="A79" s="149" t="s">
        <v>183</v>
      </c>
      <c r="B79" s="149" t="s">
        <v>34</v>
      </c>
      <c r="C79" s="150" t="s">
        <v>3</v>
      </c>
      <c r="D79" s="114">
        <f>D77+D78</f>
        <v>3122.8593000000005</v>
      </c>
      <c r="E79" s="134">
        <f>E77+E78</f>
        <v>2303.2242000000001</v>
      </c>
      <c r="F79" s="55">
        <f>F77+F78</f>
        <v>2162.1923999999999</v>
      </c>
      <c r="G79" s="55">
        <f>G77+G78</f>
        <v>946.73099999999999</v>
      </c>
      <c r="H79" s="55">
        <f>H77+H78</f>
        <v>946.73099999999999</v>
      </c>
      <c r="K79" s="7"/>
    </row>
    <row r="80" spans="1:11" ht="12.75" customHeight="1" x14ac:dyDescent="0.2">
      <c r="A80" s="145" t="s">
        <v>49</v>
      </c>
      <c r="B80" s="145" t="s">
        <v>3</v>
      </c>
      <c r="C80" s="151" t="s">
        <v>3</v>
      </c>
      <c r="D80" s="115">
        <f>D64+D79</f>
        <v>8473.9742999999999</v>
      </c>
      <c r="E80" s="136">
        <f>E64+E79</f>
        <v>3786.9492</v>
      </c>
      <c r="F80" s="63">
        <f>F64+F79</f>
        <v>2712.4394000000002</v>
      </c>
      <c r="G80" s="63">
        <f>G64+G79</f>
        <v>626.73099999999999</v>
      </c>
      <c r="H80" s="63">
        <f>H64+H79</f>
        <v>386.73099999999988</v>
      </c>
      <c r="K80" s="7"/>
    </row>
    <row r="81" spans="1:1022" ht="21" customHeight="1" thickBot="1" x14ac:dyDescent="0.25">
      <c r="A81" s="145" t="s">
        <v>118</v>
      </c>
      <c r="B81" s="145" t="s">
        <v>3</v>
      </c>
      <c r="C81" s="151" t="s">
        <v>3</v>
      </c>
      <c r="D81" s="116">
        <f>D80-$D$80</f>
        <v>0</v>
      </c>
      <c r="E81" s="106">
        <f>E80-$D$80</f>
        <v>-4687.0250999999998</v>
      </c>
      <c r="F81" s="55">
        <f>F80-$D$80</f>
        <v>-5761.5348999999997</v>
      </c>
      <c r="G81" s="55">
        <f>G80-$D$80</f>
        <v>-7847.2433000000001</v>
      </c>
      <c r="H81" s="55">
        <f>H80-$D$80</f>
        <v>-8087.2433000000001</v>
      </c>
      <c r="K81" s="7"/>
    </row>
    <row r="82" spans="1:1022" ht="13.5" thickTop="1" x14ac:dyDescent="0.2">
      <c r="B82" s="8"/>
      <c r="C82" s="9"/>
      <c r="D82" s="9"/>
      <c r="K82"/>
    </row>
    <row r="83" spans="1:1022" x14ac:dyDescent="0.2">
      <c r="A83" s="10"/>
      <c r="B83" s="11"/>
      <c r="C83" s="11"/>
      <c r="D83" s="153" t="str">
        <f>IF(C43="zły okres rozliczeniowy","BŁĄD! Proszę wybrać inny okres rozliczeniowy!",IF(D6="BŁĄD! Proszę wybrać inną taryfę lub dystrybutora","BŁĄD! Proszę wybrać inną taryfę lub dystrybutora",""))</f>
        <v/>
      </c>
      <c r="E83" s="153"/>
      <c r="F83" s="153"/>
      <c r="G83" s="153"/>
      <c r="H83" s="153"/>
      <c r="K83"/>
    </row>
    <row r="84" spans="1:1022" s="14" customFormat="1" ht="12.75" customHeight="1" x14ac:dyDescent="0.2">
      <c r="A84" s="152"/>
      <c r="B84" s="152"/>
      <c r="C84" s="152"/>
      <c r="D84" s="153"/>
      <c r="E84" s="153"/>
      <c r="F84" s="153"/>
      <c r="G84" s="153"/>
      <c r="H84" s="153"/>
      <c r="I84" s="128"/>
      <c r="ALU84"/>
      <c r="ALV84"/>
      <c r="ALW84"/>
      <c r="ALX84"/>
      <c r="ALY84"/>
      <c r="ALZ84"/>
      <c r="AMA84"/>
      <c r="AMB84"/>
      <c r="AMC84"/>
      <c r="AMD84"/>
      <c r="AME84"/>
      <c r="AMF84"/>
      <c r="AMG84"/>
      <c r="AMH84"/>
    </row>
    <row r="85" spans="1:1022" s="14" customFormat="1" ht="12.75" customHeight="1" x14ac:dyDescent="0.2">
      <c r="A85" s="152"/>
      <c r="B85" s="152"/>
      <c r="C85" s="152"/>
      <c r="D85" s="153"/>
      <c r="E85" s="153"/>
      <c r="F85" s="153"/>
      <c r="G85" s="153"/>
      <c r="H85" s="153"/>
      <c r="I85" s="128"/>
      <c r="ALU85"/>
      <c r="ALV85"/>
      <c r="ALW85"/>
      <c r="ALX85"/>
      <c r="ALY85"/>
      <c r="ALZ85"/>
      <c r="AMA85"/>
      <c r="AMB85"/>
      <c r="AMC85"/>
      <c r="AMD85"/>
      <c r="AME85"/>
      <c r="AMF85"/>
      <c r="AMG85"/>
      <c r="AMH85"/>
    </row>
    <row r="86" spans="1:1022" s="14" customFormat="1" ht="12.75" customHeight="1" x14ac:dyDescent="0.2">
      <c r="A86" s="152"/>
      <c r="B86" s="152"/>
      <c r="C86" s="152"/>
      <c r="D86" s="12"/>
      <c r="E86" s="13"/>
      <c r="F86" s="11"/>
      <c r="G86" s="3"/>
      <c r="H86"/>
      <c r="I86" s="128"/>
      <c r="ALU86"/>
      <c r="ALV86"/>
      <c r="ALW86"/>
      <c r="ALX86"/>
      <c r="ALY86"/>
      <c r="ALZ86"/>
      <c r="AMA86"/>
      <c r="AMB86"/>
      <c r="AMC86"/>
      <c r="AMD86"/>
      <c r="AME86"/>
      <c r="AMF86"/>
      <c r="AMG86"/>
      <c r="AMH86"/>
    </row>
    <row r="87" spans="1:1022" s="14" customFormat="1" ht="12.75" customHeight="1" x14ac:dyDescent="0.2">
      <c r="A87" s="152"/>
      <c r="B87" s="152"/>
      <c r="C87" s="152"/>
      <c r="D87" s="12"/>
      <c r="E87" s="13"/>
      <c r="F87" s="11"/>
      <c r="G87" s="3"/>
      <c r="H87"/>
      <c r="I87" s="128"/>
      <c r="ALU87"/>
      <c r="ALV87"/>
      <c r="ALW87"/>
      <c r="ALX87"/>
      <c r="ALY87"/>
      <c r="ALZ87"/>
      <c r="AMA87"/>
      <c r="AMB87"/>
      <c r="AMC87"/>
      <c r="AMD87"/>
      <c r="AME87"/>
      <c r="AMF87"/>
      <c r="AMG87"/>
      <c r="AMH87"/>
    </row>
    <row r="88" spans="1:1022" s="14" customFormat="1" ht="12.75" customHeight="1" x14ac:dyDescent="0.2">
      <c r="A88" s="147"/>
      <c r="B88" s="147"/>
      <c r="C88" s="147"/>
      <c r="D88" s="15"/>
      <c r="E88" s="16"/>
      <c r="F88" s="3"/>
      <c r="G88" s="3"/>
      <c r="H88" s="16"/>
      <c r="I88" s="128"/>
      <c r="ALU88"/>
      <c r="ALV88"/>
      <c r="ALW88"/>
      <c r="ALX88"/>
      <c r="ALY88"/>
      <c r="ALZ88"/>
      <c r="AMA88"/>
      <c r="AMB88"/>
      <c r="AMC88"/>
      <c r="AMD88"/>
      <c r="AME88"/>
      <c r="AMF88"/>
      <c r="AMG88"/>
      <c r="AMH88"/>
    </row>
    <row r="89" spans="1:1022" s="14" customFormat="1" x14ac:dyDescent="0.2">
      <c r="A89" s="17"/>
      <c r="B89" s="18"/>
      <c r="C89" s="18"/>
      <c r="D89" s="18"/>
      <c r="E89" s="18"/>
      <c r="F89" s="18"/>
      <c r="G89" s="18"/>
      <c r="H89" s="19"/>
      <c r="I89" s="128"/>
      <c r="ALU89"/>
      <c r="ALV89"/>
      <c r="ALW89"/>
      <c r="ALX89"/>
      <c r="ALY89"/>
      <c r="ALZ89"/>
      <c r="AMA89"/>
      <c r="AMB89"/>
      <c r="AMC89"/>
      <c r="AMD89"/>
      <c r="AME89"/>
      <c r="AMF89"/>
      <c r="AMG89"/>
      <c r="AMH89"/>
    </row>
    <row r="90" spans="1:1022" s="14" customFormat="1" ht="13.9" customHeight="1" x14ac:dyDescent="0.2">
      <c r="A90" s="148"/>
      <c r="B90" s="148"/>
      <c r="C90" s="148"/>
      <c r="D90" s="148"/>
      <c r="E90" s="148"/>
      <c r="F90" s="148"/>
      <c r="G90" s="148"/>
      <c r="H90" s="148"/>
      <c r="I90" s="128"/>
      <c r="ALU90"/>
      <c r="ALV90"/>
      <c r="ALW90"/>
      <c r="ALX90"/>
      <c r="ALY90"/>
      <c r="ALZ90"/>
      <c r="AMA90"/>
      <c r="AMB90"/>
      <c r="AMC90"/>
      <c r="AMD90"/>
      <c r="AME90"/>
      <c r="AMF90"/>
      <c r="AMG90"/>
      <c r="AMH90"/>
    </row>
    <row r="91" spans="1:1022" s="14" customFormat="1" ht="13.9" customHeight="1" x14ac:dyDescent="0.2">
      <c r="A91" s="148"/>
      <c r="B91" s="148"/>
      <c r="C91" s="148"/>
      <c r="D91" s="148"/>
      <c r="E91" s="148"/>
      <c r="F91" s="148"/>
      <c r="G91" s="148"/>
      <c r="H91" s="148"/>
      <c r="I91" s="128"/>
      <c r="ALU91"/>
      <c r="ALV91"/>
      <c r="ALW91"/>
      <c r="ALX91"/>
      <c r="ALY91"/>
      <c r="ALZ91"/>
      <c r="AMA91"/>
      <c r="AMB91"/>
      <c r="AMC91"/>
      <c r="AMD91"/>
      <c r="AME91"/>
      <c r="AMF91"/>
      <c r="AMG91"/>
      <c r="AMH91"/>
    </row>
    <row r="92" spans="1:1022" ht="15" x14ac:dyDescent="0.25">
      <c r="A92" s="20"/>
      <c r="B92" s="21"/>
      <c r="C92" s="21"/>
      <c r="D92" s="21"/>
      <c r="E92" s="21"/>
      <c r="F92" s="21"/>
      <c r="G92" s="21"/>
      <c r="H92" s="21"/>
      <c r="K92"/>
    </row>
    <row r="93" spans="1:1022" ht="14.25" x14ac:dyDescent="0.2">
      <c r="A93" s="22"/>
      <c r="B93" s="23"/>
      <c r="C93" s="23"/>
      <c r="D93" s="23"/>
      <c r="E93" s="23"/>
      <c r="F93" s="23"/>
      <c r="G93" s="23"/>
      <c r="H93" s="23"/>
      <c r="K93"/>
    </row>
    <row r="94" spans="1:1022" ht="14.25" x14ac:dyDescent="0.2">
      <c r="A94" s="22"/>
      <c r="B94" s="23"/>
      <c r="C94" s="23"/>
      <c r="D94" s="23"/>
      <c r="E94" s="23"/>
      <c r="F94" s="23"/>
      <c r="G94" s="23"/>
      <c r="H94" s="23"/>
      <c r="I94" s="129"/>
      <c r="J94" s="24"/>
      <c r="K94"/>
      <c r="L94" s="23"/>
    </row>
    <row r="95" spans="1:1022" ht="14.25" x14ac:dyDescent="0.2">
      <c r="A95" s="25"/>
      <c r="B95" s="23"/>
      <c r="C95" s="23"/>
      <c r="D95" s="23"/>
      <c r="E95" s="23"/>
      <c r="F95" s="23"/>
      <c r="G95" s="23"/>
      <c r="H95" s="23"/>
      <c r="I95" s="129"/>
      <c r="J95" s="24"/>
      <c r="K95"/>
      <c r="L95" s="23"/>
    </row>
  </sheetData>
  <sheetProtection algorithmName="SHA-512" hashValue="D2gR3ey1X6syAPUJQQPfQHmxIqG6g0laWe8sj7u4hLZ7bLNlWEZwQRedfUifRiqdbEF8B1XN4KyKpGOsHU4zCg==" saltValue="xfR/frKyfJdFkFWmFFjHqQ==" spinCount="100000" sheet="1" objects="1" scenarios="1"/>
  <mergeCells count="126">
    <mergeCell ref="A17:H17"/>
    <mergeCell ref="A21:A24"/>
    <mergeCell ref="F21:H23"/>
    <mergeCell ref="E18:E19"/>
    <mergeCell ref="E11:H11"/>
    <mergeCell ref="E12:H12"/>
    <mergeCell ref="E13:H13"/>
    <mergeCell ref="E14:H14"/>
    <mergeCell ref="D6:D8"/>
    <mergeCell ref="A11:B11"/>
    <mergeCell ref="A12:B12"/>
    <mergeCell ref="A13:B13"/>
    <mergeCell ref="A14:B14"/>
    <mergeCell ref="C18:D18"/>
    <mergeCell ref="A18:B19"/>
    <mergeCell ref="F18:H19"/>
    <mergeCell ref="E1:G1"/>
    <mergeCell ref="B2:I2"/>
    <mergeCell ref="A3:H3"/>
    <mergeCell ref="A4:B4"/>
    <mergeCell ref="A5:B5"/>
    <mergeCell ref="A6:B6"/>
    <mergeCell ref="A7:B7"/>
    <mergeCell ref="A8:B8"/>
    <mergeCell ref="A10:B10"/>
    <mergeCell ref="E4:H4"/>
    <mergeCell ref="E5:H5"/>
    <mergeCell ref="E6:H6"/>
    <mergeCell ref="E7:H7"/>
    <mergeCell ref="E8:H8"/>
    <mergeCell ref="E10:H10"/>
    <mergeCell ref="A25:A28"/>
    <mergeCell ref="F25:H27"/>
    <mergeCell ref="A29:B29"/>
    <mergeCell ref="F29:H29"/>
    <mergeCell ref="A30:B30"/>
    <mergeCell ref="C30:E30"/>
    <mergeCell ref="F30:H30"/>
    <mergeCell ref="A31:B31"/>
    <mergeCell ref="C31:E31"/>
    <mergeCell ref="F31:H31"/>
    <mergeCell ref="A32:B32"/>
    <mergeCell ref="C32:E32"/>
    <mergeCell ref="F32:H32"/>
    <mergeCell ref="A33:B33"/>
    <mergeCell ref="C33:E33"/>
    <mergeCell ref="F33:H33"/>
    <mergeCell ref="A34:B34"/>
    <mergeCell ref="F34:H34"/>
    <mergeCell ref="A38:H38"/>
    <mergeCell ref="A41:B41"/>
    <mergeCell ref="C41:E41"/>
    <mergeCell ref="G41:H41"/>
    <mergeCell ref="A42:B42"/>
    <mergeCell ref="F42:H42"/>
    <mergeCell ref="A43:B43"/>
    <mergeCell ref="C43:E43"/>
    <mergeCell ref="F43:H43"/>
    <mergeCell ref="E39:E40"/>
    <mergeCell ref="C39:D39"/>
    <mergeCell ref="F39:H40"/>
    <mergeCell ref="A39:B40"/>
    <mergeCell ref="A44:B44"/>
    <mergeCell ref="C44:E44"/>
    <mergeCell ref="F44:H44"/>
    <mergeCell ref="A45:B45"/>
    <mergeCell ref="C45:E45"/>
    <mergeCell ref="F45:H45"/>
    <mergeCell ref="A46:B46"/>
    <mergeCell ref="C46:E46"/>
    <mergeCell ref="F46:H46"/>
    <mergeCell ref="F47:H47"/>
    <mergeCell ref="A49:E49"/>
    <mergeCell ref="A50:B50"/>
    <mergeCell ref="D50:E50"/>
    <mergeCell ref="A51:B51"/>
    <mergeCell ref="D51:E51"/>
    <mergeCell ref="A53:H53"/>
    <mergeCell ref="A54:C54"/>
    <mergeCell ref="F50:H50"/>
    <mergeCell ref="F49:G49"/>
    <mergeCell ref="B70:C70"/>
    <mergeCell ref="B71:C71"/>
    <mergeCell ref="A72:A76"/>
    <mergeCell ref="B72:C72"/>
    <mergeCell ref="B73:C73"/>
    <mergeCell ref="B74:C74"/>
    <mergeCell ref="B75:C75"/>
    <mergeCell ref="B76:C76"/>
    <mergeCell ref="A47:B47"/>
    <mergeCell ref="I55:K55"/>
    <mergeCell ref="A56:C56"/>
    <mergeCell ref="A57:C57"/>
    <mergeCell ref="I57:K57"/>
    <mergeCell ref="A58:C58"/>
    <mergeCell ref="A59:C59"/>
    <mergeCell ref="A60:A64"/>
    <mergeCell ref="B60:C60"/>
    <mergeCell ref="B63:C63"/>
    <mergeCell ref="B64:C64"/>
    <mergeCell ref="B62:C62"/>
    <mergeCell ref="B61:C61"/>
    <mergeCell ref="A77:C77"/>
    <mergeCell ref="A36:B36"/>
    <mergeCell ref="F36:H36"/>
    <mergeCell ref="A35:B35"/>
    <mergeCell ref="F35:H35"/>
    <mergeCell ref="A88:C88"/>
    <mergeCell ref="A90:H90"/>
    <mergeCell ref="A91:H91"/>
    <mergeCell ref="A79:C79"/>
    <mergeCell ref="A80:C80"/>
    <mergeCell ref="A84:C84"/>
    <mergeCell ref="A85:C85"/>
    <mergeCell ref="A86:C86"/>
    <mergeCell ref="A87:C87"/>
    <mergeCell ref="A81:C81"/>
    <mergeCell ref="D83:H85"/>
    <mergeCell ref="A78:C78"/>
    <mergeCell ref="A55:C55"/>
    <mergeCell ref="A65:A69"/>
    <mergeCell ref="B65:C65"/>
    <mergeCell ref="B66:C66"/>
    <mergeCell ref="B67:C67"/>
    <mergeCell ref="B68:C68"/>
    <mergeCell ref="B69:C69"/>
  </mergeCells>
  <conditionalFormatting sqref="A35:H35">
    <cfRule type="expression" dxfId="4" priority="3">
      <formula>$C$9=FALSE()</formula>
    </cfRule>
  </conditionalFormatting>
  <conditionalFormatting sqref="A36:H36">
    <cfRule type="expression" dxfId="3" priority="2">
      <formula>$D$9=FALSE()</formula>
    </cfRule>
  </conditionalFormatting>
  <conditionalFormatting sqref="C10">
    <cfRule type="expression" dxfId="2" priority="5">
      <formula>$C$9=TRUE()</formula>
    </cfRule>
  </conditionalFormatting>
  <conditionalFormatting sqref="C11">
    <cfRule type="expression" dxfId="1" priority="4">
      <formula>$D$9=TRUE()</formula>
    </cfRule>
  </conditionalFormatting>
  <conditionalFormatting sqref="C12">
    <cfRule type="expression" dxfId="0" priority="1">
      <formula>$C$9=TRUE()</formula>
    </cfRule>
  </conditionalFormatting>
  <dataValidations count="4">
    <dataValidation type="list" operator="equal" allowBlank="1" showErrorMessage="1" sqref="C7" xr:uid="{00000000-0002-0000-0000-000000000000}">
      <formula1>"Tauron,PGE,Enea,Energa"</formula1>
    </dataValidation>
    <dataValidation type="list" operator="equal" allowBlank="1" showErrorMessage="1" sqref="C13" xr:uid="{00000000-0002-0000-0000-000002000000}">
      <formula1>"jednofazowy,trójfazowy"</formula1>
      <formula2>0</formula2>
    </dataValidation>
    <dataValidation type="list" operator="equal" allowBlank="1" showErrorMessage="1" sqref="C15:D15" xr:uid="{00000000-0002-0000-0000-000004000000}">
      <formula1>"1-miesięczny,2-miesięczny,6-miesięczny,12-miesięczny,zdalny odczyt 1-miesięczny,zdalny odczyt 2-miesięczny,G11p,G12p"</formula1>
      <formula2>0</formula2>
    </dataValidation>
    <dataValidation operator="equal" allowBlank="1" showErrorMessage="1" sqref="C9:D9" xr:uid="{2DE6B8C4-ADA5-41A3-AC46-1D3B1F72BC12}"/>
  </dataValidations>
  <pageMargins left="0.74791666666666701" right="0.74791666666666701" top="0.98402777777777795" bottom="0.98402777777777795" header="0.511811023622047" footer="0.511811023622047"/>
  <pageSetup paperSize="9" orientation="portrait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operator="equal" allowBlank="1" showErrorMessage="1" xr:uid="{00000000-0002-0000-0000-000003000000}">
          <x14:formula1>
            <xm:f>PotatOS!$E$21:$E$25</xm:f>
          </x14:formula1>
          <xm:sqref>C8</xm:sqref>
        </x14:dataValidation>
        <x14:dataValidation type="list" operator="equal" allowBlank="1" showErrorMessage="1" xr:uid="{E6D7EFF9-7E30-4C6E-B9B1-74039334BAB1}">
          <x14:formula1>
            <xm:f>PotatOS!$D$21:$D$26</xm:f>
          </x14:formula1>
          <xm:sqref>C6</xm:sqref>
        </x14:dataValidation>
        <x14:dataValidation type="list" operator="equal" allowBlank="1" showErrorMessage="1" xr:uid="{1A541360-F738-4F14-9572-FC43084BFAA1}">
          <x14:formula1>
            <xm:f>PotatOS!$H$21:$H$28</xm:f>
          </x14:formula1>
          <xm:sqref>C14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04944-75A2-4A5D-A240-D6A0F54B0C10}">
  <dimension ref="C17:H39"/>
  <sheetViews>
    <sheetView topLeftCell="B10" workbookViewId="0">
      <selection activeCell="F17" sqref="F17"/>
    </sheetView>
  </sheetViews>
  <sheetFormatPr defaultRowHeight="12.75" x14ac:dyDescent="0.2"/>
  <cols>
    <col min="3" max="6" width="24.7109375" customWidth="1"/>
    <col min="7" max="7" width="16.28515625" customWidth="1"/>
    <col min="8" max="8" width="19.7109375" style="96" customWidth="1"/>
  </cols>
  <sheetData>
    <row r="17" spans="3:8" x14ac:dyDescent="0.2">
      <c r="F17" s="92"/>
    </row>
    <row r="20" spans="3:8" ht="30" customHeight="1" x14ac:dyDescent="0.2">
      <c r="C20" s="1" t="s">
        <v>136</v>
      </c>
      <c r="D20" s="1" t="s">
        <v>139</v>
      </c>
      <c r="E20" s="1" t="s">
        <v>137</v>
      </c>
      <c r="F20" s="1" t="s">
        <v>138</v>
      </c>
      <c r="H20" s="93" t="s">
        <v>15</v>
      </c>
    </row>
    <row r="21" spans="3:8" x14ac:dyDescent="0.2">
      <c r="C21" t="s">
        <v>55</v>
      </c>
      <c r="D21" t="s">
        <v>55</v>
      </c>
      <c r="E21" s="92" t="s">
        <v>11</v>
      </c>
      <c r="F21" s="92"/>
      <c r="G21" s="92"/>
      <c r="H21" s="94" t="s">
        <v>94</v>
      </c>
    </row>
    <row r="22" spans="3:8" x14ac:dyDescent="0.2">
      <c r="C22" t="s">
        <v>56</v>
      </c>
      <c r="D22" t="s">
        <v>56</v>
      </c>
      <c r="E22" s="92" t="s">
        <v>143</v>
      </c>
      <c r="G22">
        <v>1</v>
      </c>
      <c r="H22" s="94" t="s">
        <v>16</v>
      </c>
    </row>
    <row r="23" spans="3:8" x14ac:dyDescent="0.2">
      <c r="C23" t="s">
        <v>57</v>
      </c>
      <c r="D23" t="s">
        <v>57</v>
      </c>
      <c r="E23" s="92" t="s">
        <v>141</v>
      </c>
      <c r="H23" s="94" t="s">
        <v>96</v>
      </c>
    </row>
    <row r="24" spans="3:8" x14ac:dyDescent="0.2">
      <c r="C24" t="s">
        <v>9</v>
      </c>
      <c r="D24" t="s">
        <v>58</v>
      </c>
      <c r="E24" t="str">
        <f>VLOOKUP('Wyliczenia szczegółowe'!C7,PotatOS!D36:E39,2,0)</f>
        <v>G12p</v>
      </c>
      <c r="H24" s="94" t="s">
        <v>97</v>
      </c>
    </row>
    <row r="25" spans="3:8" ht="25.5" x14ac:dyDescent="0.2">
      <c r="D25" t="s">
        <v>9</v>
      </c>
      <c r="E25" t="s">
        <v>145</v>
      </c>
      <c r="H25" s="94" t="s">
        <v>98</v>
      </c>
    </row>
    <row r="26" spans="3:8" ht="25.5" x14ac:dyDescent="0.2">
      <c r="H26" s="94" t="s">
        <v>99</v>
      </c>
    </row>
    <row r="27" spans="3:8" x14ac:dyDescent="0.2">
      <c r="H27" s="94" t="s">
        <v>71</v>
      </c>
    </row>
    <row r="28" spans="3:8" x14ac:dyDescent="0.2">
      <c r="H28" s="94" t="s">
        <v>100</v>
      </c>
    </row>
    <row r="29" spans="3:8" x14ac:dyDescent="0.2">
      <c r="H29" s="95"/>
    </row>
    <row r="34" spans="4:7" x14ac:dyDescent="0.2">
      <c r="D34" s="92" t="s">
        <v>147</v>
      </c>
      <c r="E34" s="92" t="s">
        <v>142</v>
      </c>
      <c r="F34" s="92" t="s">
        <v>146</v>
      </c>
      <c r="G34" s="92"/>
    </row>
    <row r="36" spans="4:7" x14ac:dyDescent="0.2">
      <c r="D36" s="92" t="s">
        <v>55</v>
      </c>
      <c r="E36" s="92" t="s">
        <v>100</v>
      </c>
      <c r="F36" s="92" t="s">
        <v>148</v>
      </c>
    </row>
    <row r="37" spans="4:7" x14ac:dyDescent="0.2">
      <c r="D37" s="92" t="s">
        <v>56</v>
      </c>
      <c r="E37" s="92" t="s">
        <v>144</v>
      </c>
      <c r="F37" s="92" t="s">
        <v>149</v>
      </c>
    </row>
    <row r="38" spans="4:7" x14ac:dyDescent="0.2">
      <c r="D38" s="92" t="s">
        <v>57</v>
      </c>
      <c r="E38" s="92" t="s">
        <v>140</v>
      </c>
      <c r="F38" s="92" t="s">
        <v>150</v>
      </c>
    </row>
    <row r="39" spans="4:7" x14ac:dyDescent="0.2">
      <c r="D39" s="92" t="s">
        <v>9</v>
      </c>
      <c r="E39" s="92" t="s">
        <v>145</v>
      </c>
      <c r="F39" s="92" t="s">
        <v>151</v>
      </c>
    </row>
  </sheetData>
  <sheetProtection algorithmName="SHA-512" hashValue="wjlVBzN1dbVOYfIazRYD5zje5K78wTBnKLI6NfVuDH7u6q/YNbAxwwroKOfhUaTx/qz5YJI78e9t0zmJoHyPbw==" saltValue="pztkIXpM+0eEoi5rkNX1Cw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J56"/>
  <sheetViews>
    <sheetView zoomScaleNormal="100" workbookViewId="0">
      <selection activeCell="C7" sqref="C7"/>
    </sheetView>
  </sheetViews>
  <sheetFormatPr defaultColWidth="12.140625" defaultRowHeight="12.75" x14ac:dyDescent="0.2"/>
  <cols>
    <col min="1" max="1" width="44.140625" style="1" customWidth="1"/>
    <col min="2" max="3" width="14.85546875" customWidth="1"/>
    <col min="4" max="4" width="58.85546875" customWidth="1"/>
    <col min="5" max="5" width="14.85546875" customWidth="1"/>
    <col min="6" max="6" width="14.85546875" hidden="1" customWidth="1"/>
    <col min="7" max="7" width="14.85546875" style="2" hidden="1" customWidth="1"/>
    <col min="8" max="10" width="14.85546875" hidden="1" customWidth="1"/>
    <col min="11" max="11" width="15" customWidth="1"/>
    <col min="12" max="61" width="12.5703125" customWidth="1"/>
    <col min="1022" max="1024" width="11.5703125" customWidth="1"/>
  </cols>
  <sheetData>
    <row r="1" spans="1:13" ht="51.6" customHeight="1" x14ac:dyDescent="0.2">
      <c r="B1" s="192" t="s">
        <v>130</v>
      </c>
      <c r="C1" s="192"/>
      <c r="D1" s="192"/>
      <c r="E1" s="3"/>
      <c r="F1" s="4"/>
      <c r="G1" s="5"/>
      <c r="H1" s="4"/>
      <c r="I1" s="4"/>
      <c r="J1" s="4"/>
      <c r="K1" s="23"/>
      <c r="L1" s="23"/>
      <c r="M1" s="23"/>
    </row>
    <row r="2" spans="1:13" ht="12.95" customHeight="1" x14ac:dyDescent="0.2">
      <c r="A2" s="193"/>
      <c r="B2" s="193"/>
      <c r="C2" s="193"/>
      <c r="D2" s="193"/>
      <c r="E2" s="193" t="s">
        <v>0</v>
      </c>
      <c r="F2" s="4"/>
      <c r="G2" s="5"/>
      <c r="H2" s="4"/>
      <c r="I2" s="4"/>
      <c r="J2" s="4"/>
      <c r="K2" s="23"/>
      <c r="L2" s="23"/>
      <c r="M2" s="23"/>
    </row>
    <row r="3" spans="1:13" ht="38.25" customHeight="1" x14ac:dyDescent="0.2">
      <c r="A3" s="67" t="str">
        <f>"Skład rachunku za prąd przy poborze "&amp;'Wyliczenia szczegółowe'!C4&amp;" kWh rocznie"</f>
        <v>Skład rachunku za prąd przy poborze 8000 kWh rocznie</v>
      </c>
      <c r="B3" s="68" t="s">
        <v>38</v>
      </c>
      <c r="C3" s="68" t="str">
        <f>"PV "&amp;'Wyliczenia szczegółowe'!$E$55&amp;" kWp"</f>
        <v>PV 8 kWp</v>
      </c>
      <c r="D3" s="69" t="s">
        <v>50</v>
      </c>
      <c r="F3" s="5"/>
      <c r="G3" s="4"/>
      <c r="H3" s="4"/>
      <c r="I3" s="4"/>
    </row>
    <row r="4" spans="1:13" ht="27.2" customHeight="1" x14ac:dyDescent="0.2">
      <c r="A4" s="70" t="s">
        <v>51</v>
      </c>
      <c r="B4" s="71">
        <f>'Wyliczenia szczegółowe'!D64</f>
        <v>5351.1149999999998</v>
      </c>
      <c r="C4" s="72">
        <f>'Wyliczenia szczegółowe'!E64</f>
        <v>1483.7249999999999</v>
      </c>
      <c r="D4" s="73" t="s">
        <v>52</v>
      </c>
      <c r="E4" s="26"/>
      <c r="F4" s="26"/>
      <c r="G4"/>
    </row>
    <row r="5" spans="1:13" ht="18" customHeight="1" x14ac:dyDescent="0.2">
      <c r="A5" s="70" t="s">
        <v>129</v>
      </c>
      <c r="B5" s="71">
        <f>SUM('Wyliczenia szczegółowe'!D65:D69)</f>
        <v>2218.69</v>
      </c>
      <c r="C5" s="72">
        <f>SUM('Wyliczenia szczegółowe'!E65:E69)</f>
        <v>1555.95</v>
      </c>
      <c r="D5" s="73" t="s">
        <v>53</v>
      </c>
      <c r="E5" s="26"/>
      <c r="F5" s="26"/>
      <c r="G5"/>
    </row>
    <row r="6" spans="1:13" x14ac:dyDescent="0.2">
      <c r="A6" s="70" t="s">
        <v>127</v>
      </c>
      <c r="B6" s="71">
        <f>SUM('Wyliczenia szczegółowe'!D72:D76)</f>
        <v>320.22000000000003</v>
      </c>
      <c r="C6" s="72">
        <f>SUM('Wyliczenia szczegółowe'!E72:E76)</f>
        <v>316.59000000000003</v>
      </c>
      <c r="D6" s="73" t="s">
        <v>54</v>
      </c>
      <c r="E6" s="9"/>
      <c r="F6" s="9"/>
      <c r="G6"/>
    </row>
    <row r="7" spans="1:13" x14ac:dyDescent="0.2">
      <c r="A7" s="70" t="s">
        <v>25</v>
      </c>
      <c r="B7" s="71">
        <f>'Wyliczenia szczegółowe'!D61+'Wyliczenia szczegółowe'!D78</f>
        <v>1584.5643</v>
      </c>
      <c r="C7" s="71">
        <f>'Wyliczenia szczegółowe'!E61+'Wyliczenia szczegółowe'!E78</f>
        <v>1156.9092000000001</v>
      </c>
      <c r="D7" s="73" t="s">
        <v>53</v>
      </c>
      <c r="E7" s="9"/>
      <c r="F7" s="9"/>
      <c r="G7"/>
    </row>
    <row r="8" spans="1:13" x14ac:dyDescent="0.2">
      <c r="A8" s="8"/>
      <c r="B8" s="6"/>
      <c r="G8"/>
    </row>
    <row r="9" spans="1:13" x14ac:dyDescent="0.2">
      <c r="A9" s="8"/>
      <c r="G9"/>
    </row>
    <row r="10" spans="1:13" x14ac:dyDescent="0.2">
      <c r="A10" s="8"/>
      <c r="G10"/>
    </row>
    <row r="11" spans="1:13" x14ac:dyDescent="0.2">
      <c r="A11" s="8"/>
      <c r="G11"/>
    </row>
    <row r="12" spans="1:13" x14ac:dyDescent="0.2">
      <c r="A12" s="8"/>
      <c r="G12"/>
    </row>
    <row r="13" spans="1:13" x14ac:dyDescent="0.2">
      <c r="A13" s="8"/>
      <c r="G13"/>
    </row>
    <row r="14" spans="1:13" x14ac:dyDescent="0.2">
      <c r="A14" s="8"/>
      <c r="G14"/>
    </row>
    <row r="15" spans="1:13" x14ac:dyDescent="0.2">
      <c r="A15" s="8"/>
      <c r="G15"/>
    </row>
    <row r="16" spans="1:13" x14ac:dyDescent="0.2">
      <c r="A16" s="8"/>
      <c r="G16"/>
    </row>
    <row r="17" spans="1:7" x14ac:dyDescent="0.2">
      <c r="A17" s="8"/>
      <c r="G17"/>
    </row>
    <row r="18" spans="1:7" x14ac:dyDescent="0.2">
      <c r="A18" s="8"/>
      <c r="G18"/>
    </row>
    <row r="19" spans="1:7" x14ac:dyDescent="0.2">
      <c r="A19" s="8"/>
      <c r="G19"/>
    </row>
    <row r="20" spans="1:7" x14ac:dyDescent="0.2">
      <c r="A20" s="8"/>
      <c r="G20"/>
    </row>
    <row r="21" spans="1:7" x14ac:dyDescent="0.2">
      <c r="A21" s="8"/>
      <c r="G21"/>
    </row>
    <row r="22" spans="1:7" x14ac:dyDescent="0.2">
      <c r="A22" s="8"/>
      <c r="G22"/>
    </row>
    <row r="23" spans="1:7" x14ac:dyDescent="0.2">
      <c r="A23" s="8"/>
      <c r="G23"/>
    </row>
    <row r="24" spans="1:7" x14ac:dyDescent="0.2">
      <c r="A24" s="8"/>
      <c r="G24"/>
    </row>
    <row r="25" spans="1:7" x14ac:dyDescent="0.2">
      <c r="A25" s="8"/>
      <c r="G25"/>
    </row>
    <row r="26" spans="1:7" x14ac:dyDescent="0.2">
      <c r="A26" s="8"/>
      <c r="G26"/>
    </row>
    <row r="27" spans="1:7" x14ac:dyDescent="0.2">
      <c r="A27" s="8"/>
      <c r="G27"/>
    </row>
    <row r="28" spans="1:7" x14ac:dyDescent="0.2">
      <c r="A28" s="8"/>
      <c r="G28"/>
    </row>
    <row r="29" spans="1:7" x14ac:dyDescent="0.2">
      <c r="A29" s="8"/>
      <c r="G29"/>
    </row>
    <row r="30" spans="1:7" x14ac:dyDescent="0.2">
      <c r="A30" s="8"/>
      <c r="G30"/>
    </row>
    <row r="31" spans="1:7" x14ac:dyDescent="0.2">
      <c r="A31" s="8"/>
      <c r="G31"/>
    </row>
    <row r="32" spans="1:7" x14ac:dyDescent="0.2">
      <c r="A32" s="8"/>
      <c r="G32"/>
    </row>
    <row r="33" spans="1:1024" x14ac:dyDescent="0.2">
      <c r="A33" s="8"/>
      <c r="G33"/>
    </row>
    <row r="34" spans="1:1024" x14ac:dyDescent="0.2">
      <c r="A34" s="8"/>
      <c r="G34"/>
    </row>
    <row r="35" spans="1:1024" x14ac:dyDescent="0.2">
      <c r="A35" s="8"/>
      <c r="G35"/>
    </row>
    <row r="36" spans="1:1024" x14ac:dyDescent="0.2">
      <c r="A36" s="8"/>
      <c r="G36"/>
    </row>
    <row r="37" spans="1:1024" x14ac:dyDescent="0.2">
      <c r="A37" s="8"/>
      <c r="G37"/>
    </row>
    <row r="38" spans="1:1024" x14ac:dyDescent="0.2">
      <c r="A38" s="8"/>
      <c r="G38"/>
    </row>
    <row r="39" spans="1:1024" x14ac:dyDescent="0.2">
      <c r="A39" s="8"/>
      <c r="G39"/>
    </row>
    <row r="40" spans="1:1024" x14ac:dyDescent="0.2">
      <c r="A40" s="8"/>
      <c r="G40"/>
    </row>
    <row r="41" spans="1:1024" ht="14.25" x14ac:dyDescent="0.2">
      <c r="A41" s="10"/>
      <c r="B41" s="11"/>
      <c r="C41" s="11"/>
      <c r="D41" s="9"/>
      <c r="E41" s="11"/>
      <c r="F41" s="11"/>
      <c r="G41" s="27"/>
      <c r="H41" s="11"/>
      <c r="I41" s="11"/>
      <c r="J41" s="11"/>
      <c r="K41" s="23"/>
      <c r="L41" s="23"/>
      <c r="M41" s="23"/>
    </row>
    <row r="42" spans="1:1024" s="14" customFormat="1" x14ac:dyDescent="0.2">
      <c r="A42" s="12"/>
      <c r="B42" s="13"/>
      <c r="C42" s="11"/>
      <c r="D42" s="9"/>
      <c r="E42"/>
      <c r="F42" s="13"/>
      <c r="G42" s="28"/>
      <c r="H42" s="13"/>
      <c r="I42" s="13"/>
      <c r="J42" s="13"/>
      <c r="K42" s="11"/>
      <c r="L42" s="29"/>
      <c r="M42" s="29"/>
      <c r="AMH42"/>
      <c r="AMI42"/>
      <c r="AMJ42"/>
    </row>
    <row r="43" spans="1:1024" s="14" customFormat="1" x14ac:dyDescent="0.2">
      <c r="A43" s="12"/>
      <c r="B43" s="13"/>
      <c r="C43" s="11"/>
      <c r="D43" s="9"/>
      <c r="E43"/>
      <c r="F43" s="13"/>
      <c r="G43" s="28"/>
      <c r="H43" s="13"/>
      <c r="I43" s="13"/>
      <c r="J43" s="13"/>
      <c r="K43" s="30"/>
      <c r="L43" s="29"/>
      <c r="M43" s="29"/>
      <c r="AMH43"/>
      <c r="AMI43"/>
      <c r="AMJ43"/>
    </row>
    <row r="44" spans="1:1024" s="14" customFormat="1" x14ac:dyDescent="0.2">
      <c r="A44" s="12"/>
      <c r="B44" s="13"/>
      <c r="C44" s="11"/>
      <c r="D44" s="9"/>
      <c r="E44"/>
      <c r="F44" s="13"/>
      <c r="G44" s="28"/>
      <c r="H44" s="13"/>
      <c r="I44" s="13"/>
      <c r="J44" s="13"/>
      <c r="K44" s="30"/>
      <c r="L44" s="29"/>
      <c r="M44" s="29"/>
      <c r="AMH44"/>
      <c r="AMI44"/>
      <c r="AMJ44"/>
    </row>
    <row r="45" spans="1:1024" s="14" customFormat="1" x14ac:dyDescent="0.2">
      <c r="A45" s="15"/>
      <c r="B45" s="16"/>
      <c r="C45" s="9"/>
      <c r="D45" s="9"/>
      <c r="E45" s="204"/>
      <c r="F45" s="204"/>
      <c r="G45" s="204"/>
      <c r="H45" s="16"/>
      <c r="I45" s="16"/>
      <c r="J45" s="16"/>
      <c r="K45" s="19"/>
      <c r="L45" s="29"/>
      <c r="M45" s="29"/>
      <c r="AMH45"/>
      <c r="AMI45"/>
      <c r="AMJ45"/>
    </row>
    <row r="46" spans="1:1024" s="14" customFormat="1" x14ac:dyDescent="0.2">
      <c r="A46" s="17"/>
      <c r="B46" s="18"/>
      <c r="C46" s="18"/>
      <c r="D46" s="18"/>
      <c r="E46" s="19"/>
      <c r="F46" s="18"/>
      <c r="G46" s="31"/>
      <c r="H46" s="18"/>
      <c r="I46" s="18"/>
      <c r="J46" s="18"/>
      <c r="K46" s="29"/>
      <c r="L46" s="29"/>
      <c r="M46" s="29"/>
      <c r="AMH46"/>
      <c r="AMI46"/>
      <c r="AMJ46"/>
    </row>
    <row r="47" spans="1:1024" s="14" customFormat="1" ht="13.9" customHeight="1" x14ac:dyDescent="0.2">
      <c r="A47" s="148"/>
      <c r="B47" s="148"/>
      <c r="C47" s="148"/>
      <c r="D47" s="148"/>
      <c r="E47" s="148"/>
      <c r="F47" s="148"/>
      <c r="G47" s="32"/>
      <c r="H47" s="33"/>
      <c r="I47" s="33"/>
      <c r="J47" s="33"/>
      <c r="K47" s="29"/>
      <c r="L47" s="29"/>
      <c r="M47" s="29"/>
      <c r="AMH47"/>
      <c r="AMI47"/>
      <c r="AMJ47"/>
    </row>
    <row r="48" spans="1:1024" s="14" customFormat="1" ht="13.9" customHeight="1" x14ac:dyDescent="0.2">
      <c r="A48" s="148"/>
      <c r="B48" s="148"/>
      <c r="C48" s="148"/>
      <c r="D48" s="148"/>
      <c r="E48" s="148"/>
      <c r="F48" s="148"/>
      <c r="G48" s="32"/>
      <c r="H48" s="33"/>
      <c r="I48" s="33"/>
      <c r="J48" s="33"/>
      <c r="K48" s="29"/>
      <c r="L48" s="29"/>
      <c r="M48" s="29"/>
      <c r="AMH48"/>
      <c r="AMI48"/>
      <c r="AMJ48"/>
    </row>
    <row r="49" spans="1:13" ht="15" x14ac:dyDescent="0.25">
      <c r="A49" s="20"/>
      <c r="B49" s="21"/>
      <c r="C49" s="21"/>
      <c r="D49" s="21"/>
      <c r="E49" s="21"/>
      <c r="F49" s="21"/>
      <c r="G49" s="34"/>
      <c r="H49" s="21"/>
      <c r="I49" s="21"/>
      <c r="J49" s="21"/>
      <c r="K49" s="23"/>
      <c r="L49" s="23"/>
      <c r="M49" s="23"/>
    </row>
    <row r="50" spans="1:13" ht="14.25" x14ac:dyDescent="0.2">
      <c r="A50" s="22"/>
      <c r="B50" s="23"/>
      <c r="C50" s="23"/>
      <c r="D50" s="23"/>
      <c r="E50" s="23"/>
      <c r="F50" s="23"/>
      <c r="G50" s="24"/>
      <c r="H50" s="23"/>
      <c r="I50" s="23"/>
      <c r="J50" s="23"/>
      <c r="K50" s="23"/>
      <c r="L50" s="23"/>
      <c r="M50" s="23"/>
    </row>
    <row r="51" spans="1:13" ht="14.25" x14ac:dyDescent="0.2">
      <c r="A51" s="22"/>
      <c r="B51" s="23"/>
      <c r="C51" s="23"/>
      <c r="D51" s="23"/>
      <c r="E51" s="23"/>
      <c r="F51" s="23"/>
      <c r="G51" s="24"/>
      <c r="H51" s="23"/>
      <c r="I51" s="23"/>
      <c r="J51" s="23"/>
      <c r="K51" s="23"/>
      <c r="L51" s="23"/>
      <c r="M51" s="23"/>
    </row>
    <row r="52" spans="1:13" ht="14.25" x14ac:dyDescent="0.2">
      <c r="A52" s="25"/>
      <c r="B52" s="23"/>
      <c r="C52" s="23"/>
      <c r="D52" s="23"/>
      <c r="E52" s="23"/>
      <c r="F52" s="23"/>
      <c r="G52" s="24"/>
      <c r="H52" s="23"/>
      <c r="I52" s="23"/>
      <c r="J52" s="23"/>
      <c r="K52" s="23"/>
      <c r="L52" s="23"/>
      <c r="M52" s="23"/>
    </row>
    <row r="53" spans="1:13" ht="14.25" x14ac:dyDescent="0.2">
      <c r="A53" s="25"/>
      <c r="B53" s="23"/>
      <c r="C53" s="23"/>
      <c r="D53" s="23"/>
      <c r="E53" s="23"/>
      <c r="F53" s="23"/>
      <c r="G53" s="24"/>
      <c r="H53" s="23"/>
      <c r="I53" s="23"/>
      <c r="J53" s="23"/>
      <c r="K53" s="23"/>
      <c r="L53" s="23"/>
      <c r="M53" s="23"/>
    </row>
    <row r="54" spans="1:13" ht="14.25" x14ac:dyDescent="0.2">
      <c r="A54" s="25"/>
      <c r="B54" s="23"/>
      <c r="C54" s="23"/>
      <c r="D54" s="23"/>
      <c r="E54" s="23"/>
      <c r="F54" s="23"/>
      <c r="G54" s="24"/>
      <c r="H54" s="23"/>
      <c r="I54" s="23"/>
      <c r="J54" s="23"/>
      <c r="K54" s="23"/>
      <c r="L54" s="23"/>
      <c r="M54" s="23"/>
    </row>
    <row r="55" spans="1:13" ht="14.25" x14ac:dyDescent="0.2">
      <c r="A55" s="25"/>
      <c r="B55" s="23"/>
      <c r="C55" s="23"/>
      <c r="D55" s="23"/>
      <c r="E55" s="23"/>
      <c r="F55" s="23"/>
      <c r="G55" s="24"/>
      <c r="H55" s="23"/>
      <c r="I55" s="23"/>
      <c r="J55" s="23"/>
      <c r="K55" s="23"/>
      <c r="L55" s="23"/>
      <c r="M55" s="23"/>
    </row>
    <row r="56" spans="1:13" ht="14.25" x14ac:dyDescent="0.2">
      <c r="A56" s="25"/>
      <c r="B56" s="23"/>
      <c r="C56" s="23"/>
      <c r="D56" s="23"/>
      <c r="E56" s="23"/>
      <c r="F56" s="23"/>
      <c r="G56" s="24"/>
      <c r="H56" s="23"/>
      <c r="I56" s="23"/>
      <c r="J56" s="23"/>
      <c r="K56" s="23"/>
      <c r="L56" s="23"/>
      <c r="M56" s="23"/>
    </row>
  </sheetData>
  <sheetProtection algorithmName="SHA-512" hashValue="UhD8CtGqtnhmeRSyXO7jhp3wu6mBjOF2Y37up74e+5lYS3uth06Cla1TAfCJ/QiHyrbOYb3UOUIPG1rKV6QT3Q==" saltValue="U5vIT72751DL1SIvRGS6Xw==" spinCount="100000" sheet="1" objects="1" scenarios="1"/>
  <mergeCells count="5">
    <mergeCell ref="B1:D1"/>
    <mergeCell ref="A2:E2"/>
    <mergeCell ref="E45:G45"/>
    <mergeCell ref="A47:F47"/>
    <mergeCell ref="A48:F48"/>
  </mergeCell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Roman,Normalny"&amp;12&amp;Kffffff&amp;A</oddHeader>
    <oddFooter>&amp;C&amp;"Times New Roman,Normalny"&amp;12&amp;KffffffStrona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FE1D7-A74D-46AC-BEAA-BFBCB639D3C1}">
  <dimension ref="B4:B39"/>
  <sheetViews>
    <sheetView workbookViewId="0">
      <selection activeCell="B23" sqref="B23"/>
    </sheetView>
  </sheetViews>
  <sheetFormatPr defaultColWidth="12" defaultRowHeight="12.75" x14ac:dyDescent="0.2"/>
  <cols>
    <col min="2" max="2" width="88.5703125" style="1" customWidth="1"/>
  </cols>
  <sheetData>
    <row r="4" spans="2:2" ht="25.5" x14ac:dyDescent="0.2">
      <c r="B4" s="117" t="s">
        <v>172</v>
      </c>
    </row>
    <row r="6" spans="2:2" x14ac:dyDescent="0.2">
      <c r="B6" s="117" t="s">
        <v>154</v>
      </c>
    </row>
    <row r="7" spans="2:2" x14ac:dyDescent="0.2">
      <c r="B7" s="117" t="s">
        <v>155</v>
      </c>
    </row>
    <row r="8" spans="2:2" x14ac:dyDescent="0.2">
      <c r="B8" s="117" t="s">
        <v>156</v>
      </c>
    </row>
    <row r="9" spans="2:2" x14ac:dyDescent="0.2">
      <c r="B9" s="122" t="s">
        <v>170</v>
      </c>
    </row>
    <row r="10" spans="2:2" x14ac:dyDescent="0.2">
      <c r="B10" s="117"/>
    </row>
    <row r="11" spans="2:2" x14ac:dyDescent="0.2">
      <c r="B11" s="117" t="s">
        <v>171</v>
      </c>
    </row>
    <row r="12" spans="2:2" x14ac:dyDescent="0.2">
      <c r="B12" s="117"/>
    </row>
    <row r="13" spans="2:2" x14ac:dyDescent="0.2">
      <c r="B13" s="118" t="s">
        <v>157</v>
      </c>
    </row>
    <row r="14" spans="2:2" x14ac:dyDescent="0.2">
      <c r="B14" s="119" t="s">
        <v>158</v>
      </c>
    </row>
    <row r="15" spans="2:2" x14ac:dyDescent="0.2">
      <c r="B15" s="119"/>
    </row>
    <row r="16" spans="2:2" x14ac:dyDescent="0.2">
      <c r="B16" s="120" t="s">
        <v>159</v>
      </c>
    </row>
    <row r="17" spans="2:2" x14ac:dyDescent="0.2">
      <c r="B17" s="120" t="s">
        <v>160</v>
      </c>
    </row>
    <row r="18" spans="2:2" x14ac:dyDescent="0.2">
      <c r="B18" s="120" t="s">
        <v>161</v>
      </c>
    </row>
    <row r="19" spans="2:2" x14ac:dyDescent="0.2">
      <c r="B19" s="117"/>
    </row>
    <row r="20" spans="2:2" x14ac:dyDescent="0.2">
      <c r="B20" s="119" t="s">
        <v>162</v>
      </c>
    </row>
    <row r="21" spans="2:2" ht="10.35" customHeight="1" x14ac:dyDescent="0.2"/>
    <row r="22" spans="2:2" ht="38.25" x14ac:dyDescent="0.2">
      <c r="B22" s="118" t="s">
        <v>163</v>
      </c>
    </row>
    <row r="24" spans="2:2" x14ac:dyDescent="0.2">
      <c r="B24" s="119" t="s">
        <v>164</v>
      </c>
    </row>
    <row r="25" spans="2:2" x14ac:dyDescent="0.2">
      <c r="B25" s="118" t="s">
        <v>165</v>
      </c>
    </row>
    <row r="26" spans="2:2" x14ac:dyDescent="0.2">
      <c r="B26" s="118" t="s">
        <v>166</v>
      </c>
    </row>
    <row r="27" spans="2:2" x14ac:dyDescent="0.2">
      <c r="B27" s="118" t="s">
        <v>167</v>
      </c>
    </row>
    <row r="28" spans="2:2" x14ac:dyDescent="0.2">
      <c r="B28" s="118"/>
    </row>
    <row r="29" spans="2:2" x14ac:dyDescent="0.2">
      <c r="B29" s="119" t="s">
        <v>168</v>
      </c>
    </row>
    <row r="30" spans="2:2" x14ac:dyDescent="0.2">
      <c r="B30" s="121" t="s">
        <v>169</v>
      </c>
    </row>
    <row r="31" spans="2:2" x14ac:dyDescent="0.2">
      <c r="B31" s="205"/>
    </row>
    <row r="32" spans="2:2" x14ac:dyDescent="0.2">
      <c r="B32" s="205"/>
    </row>
    <row r="33" spans="2:2" x14ac:dyDescent="0.2">
      <c r="B33" s="205"/>
    </row>
    <row r="34" spans="2:2" x14ac:dyDescent="0.2">
      <c r="B34" s="205"/>
    </row>
    <row r="35" spans="2:2" x14ac:dyDescent="0.2">
      <c r="B35" s="205"/>
    </row>
    <row r="36" spans="2:2" x14ac:dyDescent="0.2">
      <c r="B36" s="205"/>
    </row>
    <row r="37" spans="2:2" x14ac:dyDescent="0.2">
      <c r="B37" s="205"/>
    </row>
    <row r="38" spans="2:2" x14ac:dyDescent="0.2">
      <c r="B38" s="205"/>
    </row>
    <row r="39" spans="2:2" x14ac:dyDescent="0.2">
      <c r="B39" s="205"/>
    </row>
  </sheetData>
  <sheetProtection algorithmName="SHA-512" hashValue="Zr4elOnVYCv6X6RHYupqbgb8DcQT40zgDMacz73FpseJQZkmSaktPrejgpvkpI/ilMHsXz9j6pZcPSd4iT0ubw==" saltValue="KFZgLru+v6piXqLxf229Bw==" spinCount="100000" sheet="1" objects="1" scenarios="1"/>
  <mergeCells count="1">
    <mergeCell ref="B31:B39"/>
  </mergeCells>
  <hyperlinks>
    <hyperlink ref="B9" r:id="rId1" display="Główne źródło: Raporty dot. Rynkowej Ceny Energii z https://www.pse.pl/homea" xr:uid="{73F7CEBC-31AF-44F1-A921-5945125CD431}"/>
    <hyperlink ref="B16" r:id="rId2" xr:uid="{B69E15ED-5854-494E-B00F-7A7BA89CA44C}"/>
    <hyperlink ref="B17" r:id="rId3" xr:uid="{6E165AEE-4903-45F4-A52D-0689AC4DD166}"/>
    <hyperlink ref="B18" r:id="rId4" xr:uid="{8F9D0E5B-F098-498B-9D3C-455EA4FBE745}"/>
    <hyperlink ref="B30" r:id="rId5" xr:uid="{7009C8CD-FFEA-46A3-80DB-615BF710CC3D}"/>
  </hyperlinks>
  <pageMargins left="0.7" right="0.7" top="0.75" bottom="0.75" header="0.3" footer="0.3"/>
  <drawing r:id="rId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EFE99-D16B-4E07-AE6F-64EA30A2181E}">
  <dimension ref="C3:I58"/>
  <sheetViews>
    <sheetView zoomScale="85" zoomScaleNormal="85" workbookViewId="0">
      <selection activeCell="C4" sqref="C4:I4"/>
    </sheetView>
  </sheetViews>
  <sheetFormatPr defaultColWidth="11.7109375" defaultRowHeight="12.75" x14ac:dyDescent="0.2"/>
  <sheetData>
    <row r="3" spans="3:9" x14ac:dyDescent="0.2">
      <c r="D3" s="75"/>
    </row>
    <row r="4" spans="3:9" ht="15" customHeight="1" x14ac:dyDescent="0.2">
      <c r="C4" s="208" t="s">
        <v>135</v>
      </c>
      <c r="D4" s="209"/>
      <c r="E4" s="209"/>
      <c r="F4" s="209"/>
      <c r="G4" s="209"/>
      <c r="H4" s="209"/>
      <c r="I4" s="210"/>
    </row>
    <row r="5" spans="3:9" ht="15" customHeight="1" x14ac:dyDescent="0.2">
      <c r="C5" s="208" t="s">
        <v>187</v>
      </c>
      <c r="D5" s="209"/>
      <c r="E5" s="209"/>
      <c r="F5" s="209"/>
      <c r="G5" s="209"/>
      <c r="H5" s="209"/>
      <c r="I5" s="210"/>
    </row>
    <row r="6" spans="3:9" x14ac:dyDescent="0.2">
      <c r="C6" s="76"/>
      <c r="D6" s="76"/>
      <c r="E6" s="77" t="s">
        <v>55</v>
      </c>
      <c r="F6" s="77" t="s">
        <v>56</v>
      </c>
      <c r="G6" s="77" t="s">
        <v>57</v>
      </c>
      <c r="H6" s="77" t="s">
        <v>58</v>
      </c>
      <c r="I6" s="77" t="s">
        <v>9</v>
      </c>
    </row>
    <row r="7" spans="3:9" ht="51" customHeight="1" x14ac:dyDescent="0.2">
      <c r="C7" s="207" t="s">
        <v>112</v>
      </c>
      <c r="D7" s="79" t="s">
        <v>59</v>
      </c>
      <c r="E7" s="41">
        <v>0.41199999999999998</v>
      </c>
      <c r="F7" s="41">
        <v>0.41199999999999998</v>
      </c>
      <c r="G7" s="41">
        <v>0.41199999999999998</v>
      </c>
      <c r="H7" s="42" t="s">
        <v>126</v>
      </c>
      <c r="I7" s="41">
        <v>0.41199999999999998</v>
      </c>
    </row>
    <row r="8" spans="3:9" x14ac:dyDescent="0.2">
      <c r="C8" s="207"/>
      <c r="D8" s="79" t="s">
        <v>11</v>
      </c>
      <c r="E8" s="41">
        <v>0.41420000000000001</v>
      </c>
      <c r="F8" s="41">
        <v>0.41310000000000002</v>
      </c>
      <c r="G8" s="41">
        <v>0.41399999999999998</v>
      </c>
      <c r="H8" s="42" t="s">
        <v>126</v>
      </c>
      <c r="I8" s="41">
        <v>0.41399999999999998</v>
      </c>
    </row>
    <row r="9" spans="3:9" ht="25.5" x14ac:dyDescent="0.2">
      <c r="C9" s="207"/>
      <c r="D9" s="79" t="s">
        <v>60</v>
      </c>
      <c r="E9" s="41">
        <v>0.51770000000000005</v>
      </c>
      <c r="F9" s="41">
        <v>0.48139999999999999</v>
      </c>
      <c r="G9" s="41">
        <v>0.4718</v>
      </c>
      <c r="H9" s="42" t="s">
        <v>126</v>
      </c>
      <c r="I9" s="41">
        <v>0.4929</v>
      </c>
    </row>
    <row r="10" spans="3:9" ht="25.5" x14ac:dyDescent="0.2">
      <c r="C10" s="207"/>
      <c r="D10" s="79" t="s">
        <v>61</v>
      </c>
      <c r="E10" s="41">
        <v>0.24</v>
      </c>
      <c r="F10" s="41">
        <v>0.31219999999999998</v>
      </c>
      <c r="G10" s="41">
        <v>0.29849999999999999</v>
      </c>
      <c r="H10" s="42" t="s">
        <v>126</v>
      </c>
      <c r="I10" s="41">
        <v>0.27629999999999999</v>
      </c>
    </row>
    <row r="11" spans="3:9" ht="25.5" x14ac:dyDescent="0.2">
      <c r="C11" s="207"/>
      <c r="D11" s="79" t="s">
        <v>62</v>
      </c>
      <c r="E11" s="41">
        <v>0.59499999999999997</v>
      </c>
      <c r="F11" s="41">
        <v>0.50380000000000003</v>
      </c>
      <c r="G11" s="41">
        <v>0.48770000000000002</v>
      </c>
      <c r="H11" s="42" t="s">
        <v>126</v>
      </c>
      <c r="I11" s="41">
        <v>0.50239999999999996</v>
      </c>
    </row>
    <row r="12" spans="3:9" ht="38.25" x14ac:dyDescent="0.2">
      <c r="C12" s="207"/>
      <c r="D12" s="79" t="s">
        <v>63</v>
      </c>
      <c r="E12" s="41">
        <v>0.25040000000000001</v>
      </c>
      <c r="F12" s="41">
        <v>0.32779999999999998</v>
      </c>
      <c r="G12" s="41">
        <v>0.34289999999999998</v>
      </c>
      <c r="H12" s="42" t="s">
        <v>126</v>
      </c>
      <c r="I12" s="41">
        <v>0.32540000000000002</v>
      </c>
    </row>
    <row r="13" spans="3:9" ht="38.25" x14ac:dyDescent="0.2">
      <c r="C13" s="207"/>
      <c r="D13" s="79" t="s">
        <v>64</v>
      </c>
      <c r="E13" s="41" t="s">
        <v>125</v>
      </c>
      <c r="F13" s="41" t="s">
        <v>125</v>
      </c>
      <c r="G13" s="41" t="s">
        <v>125</v>
      </c>
      <c r="H13" s="42" t="s">
        <v>126</v>
      </c>
      <c r="I13" s="41">
        <v>0.4556</v>
      </c>
    </row>
    <row r="14" spans="3:9" ht="38.25" x14ac:dyDescent="0.2">
      <c r="C14" s="207"/>
      <c r="D14" s="79" t="s">
        <v>65</v>
      </c>
      <c r="E14" s="41" t="s">
        <v>125</v>
      </c>
      <c r="F14" s="41" t="s">
        <v>125</v>
      </c>
      <c r="G14" s="41" t="s">
        <v>125</v>
      </c>
      <c r="H14" s="42" t="s">
        <v>126</v>
      </c>
      <c r="I14" s="41">
        <v>0.70799999999999996</v>
      </c>
    </row>
    <row r="15" spans="3:9" ht="25.5" x14ac:dyDescent="0.2">
      <c r="C15" s="207"/>
      <c r="D15" s="79" t="s">
        <v>66</v>
      </c>
      <c r="E15" s="41" t="s">
        <v>125</v>
      </c>
      <c r="F15" s="41" t="s">
        <v>125</v>
      </c>
      <c r="G15" s="41" t="s">
        <v>125</v>
      </c>
      <c r="H15" s="42" t="s">
        <v>126</v>
      </c>
      <c r="I15" s="41">
        <v>0.308</v>
      </c>
    </row>
    <row r="16" spans="3:9" ht="25.5" x14ac:dyDescent="0.2">
      <c r="C16" s="207"/>
      <c r="D16" s="79" t="s">
        <v>67</v>
      </c>
      <c r="E16" s="41" t="s">
        <v>125</v>
      </c>
      <c r="F16" s="41">
        <v>0.55449999999999999</v>
      </c>
      <c r="G16" s="41" t="s">
        <v>125</v>
      </c>
      <c r="H16" s="42" t="s">
        <v>126</v>
      </c>
      <c r="I16" s="41" t="s">
        <v>125</v>
      </c>
    </row>
    <row r="17" spans="3:9" ht="38.25" x14ac:dyDescent="0.2">
      <c r="C17" s="207"/>
      <c r="D17" s="79" t="s">
        <v>68</v>
      </c>
      <c r="E17" s="41" t="s">
        <v>125</v>
      </c>
      <c r="F17" s="41">
        <v>0.25090000000000001</v>
      </c>
      <c r="G17" s="41" t="s">
        <v>125</v>
      </c>
      <c r="H17" s="42" t="s">
        <v>126</v>
      </c>
      <c r="I17" s="41" t="s">
        <v>125</v>
      </c>
    </row>
    <row r="18" spans="3:9" ht="25.5" x14ac:dyDescent="0.2">
      <c r="C18" s="207"/>
      <c r="D18" s="79" t="s">
        <v>69</v>
      </c>
      <c r="E18" s="41" t="s">
        <v>125</v>
      </c>
      <c r="F18" s="41" t="s">
        <v>125</v>
      </c>
      <c r="G18" s="41">
        <v>0.46010000000000001</v>
      </c>
      <c r="H18" s="42" t="s">
        <v>126</v>
      </c>
      <c r="I18" s="41" t="s">
        <v>125</v>
      </c>
    </row>
    <row r="19" spans="3:9" ht="38.25" x14ac:dyDescent="0.2">
      <c r="C19" s="207"/>
      <c r="D19" s="79" t="s">
        <v>70</v>
      </c>
      <c r="E19" s="41" t="s">
        <v>125</v>
      </c>
      <c r="F19" s="41" t="s">
        <v>125</v>
      </c>
      <c r="G19" s="41">
        <v>0.31950000000000001</v>
      </c>
      <c r="H19" s="42" t="s">
        <v>126</v>
      </c>
      <c r="I19" s="41" t="s">
        <v>125</v>
      </c>
    </row>
    <row r="20" spans="3:9" x14ac:dyDescent="0.2">
      <c r="C20" s="207"/>
      <c r="D20" s="79" t="s">
        <v>71</v>
      </c>
      <c r="E20" s="41">
        <v>0.41420000000000001</v>
      </c>
      <c r="F20" s="41" t="s">
        <v>125</v>
      </c>
      <c r="G20" s="41" t="s">
        <v>125</v>
      </c>
      <c r="H20" s="42" t="s">
        <v>126</v>
      </c>
      <c r="I20" s="41" t="s">
        <v>125</v>
      </c>
    </row>
    <row r="21" spans="3:9" ht="25.5" x14ac:dyDescent="0.2">
      <c r="C21" s="207"/>
      <c r="D21" s="79" t="s">
        <v>72</v>
      </c>
      <c r="E21" s="41">
        <v>0.51770000000000005</v>
      </c>
      <c r="F21" s="41" t="s">
        <v>125</v>
      </c>
      <c r="G21" s="41" t="s">
        <v>125</v>
      </c>
      <c r="H21" s="42" t="s">
        <v>126</v>
      </c>
      <c r="I21" s="41" t="s">
        <v>125</v>
      </c>
    </row>
    <row r="22" spans="3:9" ht="38.25" x14ac:dyDescent="0.2">
      <c r="C22" s="207"/>
      <c r="D22" s="79" t="s">
        <v>73</v>
      </c>
      <c r="E22" s="41">
        <v>0.24</v>
      </c>
      <c r="F22" s="41" t="s">
        <v>125</v>
      </c>
      <c r="G22" s="41" t="s">
        <v>125</v>
      </c>
      <c r="H22" s="42" t="s">
        <v>126</v>
      </c>
      <c r="I22" s="41" t="s">
        <v>125</v>
      </c>
    </row>
    <row r="23" spans="3:9" ht="15" x14ac:dyDescent="0.2">
      <c r="C23" s="208" t="s">
        <v>186</v>
      </c>
      <c r="D23" s="209"/>
      <c r="E23" s="209"/>
      <c r="F23" s="209"/>
      <c r="G23" s="209"/>
      <c r="H23" s="209"/>
      <c r="I23" s="210"/>
    </row>
    <row r="24" spans="3:9" x14ac:dyDescent="0.2">
      <c r="C24" s="76"/>
      <c r="D24" s="76"/>
      <c r="E24" s="77" t="s">
        <v>55</v>
      </c>
      <c r="F24" s="77" t="s">
        <v>56</v>
      </c>
      <c r="G24" s="77" t="s">
        <v>57</v>
      </c>
      <c r="H24" s="77" t="s">
        <v>58</v>
      </c>
      <c r="I24" s="77" t="s">
        <v>9</v>
      </c>
    </row>
    <row r="25" spans="3:9" ht="51" x14ac:dyDescent="0.2">
      <c r="C25" s="206" t="s">
        <v>113</v>
      </c>
      <c r="D25" s="78" t="s">
        <v>59</v>
      </c>
      <c r="E25" s="137">
        <v>0.69299999999999995</v>
      </c>
      <c r="F25" s="137">
        <v>0.69299999999999995</v>
      </c>
      <c r="G25" s="137">
        <v>0.69299999999999995</v>
      </c>
      <c r="H25" s="137" t="s">
        <v>126</v>
      </c>
      <c r="I25" s="137">
        <v>0.69299999999999995</v>
      </c>
    </row>
    <row r="26" spans="3:9" x14ac:dyDescent="0.2">
      <c r="C26" s="207"/>
      <c r="D26" s="79" t="s">
        <v>11</v>
      </c>
      <c r="E26" s="41">
        <v>1.0567</v>
      </c>
      <c r="F26" s="41">
        <v>1.1317999999999999</v>
      </c>
      <c r="G26" s="41">
        <v>1.0584</v>
      </c>
      <c r="H26" s="41" t="s">
        <v>126</v>
      </c>
      <c r="I26" s="41">
        <v>1.119</v>
      </c>
    </row>
    <row r="27" spans="3:9" ht="25.5" x14ac:dyDescent="0.2">
      <c r="C27" s="207"/>
      <c r="D27" s="79" t="s">
        <v>60</v>
      </c>
      <c r="E27" s="41">
        <v>1.3236000000000001</v>
      </c>
      <c r="F27" s="41">
        <v>1.3189</v>
      </c>
      <c r="G27" s="41">
        <v>1.2002999999999999</v>
      </c>
      <c r="H27" s="41" t="s">
        <v>126</v>
      </c>
      <c r="I27" s="41">
        <v>1.3</v>
      </c>
    </row>
    <row r="28" spans="3:9" ht="25.5" x14ac:dyDescent="0.2">
      <c r="C28" s="207"/>
      <c r="D28" s="79" t="s">
        <v>61</v>
      </c>
      <c r="E28" s="41">
        <v>0.60680000000000001</v>
      </c>
      <c r="F28" s="41">
        <v>0.85489999999999999</v>
      </c>
      <c r="G28" s="41">
        <v>0.7581</v>
      </c>
      <c r="H28" s="41" t="s">
        <v>126</v>
      </c>
      <c r="I28" s="41">
        <v>0.77500000000000002</v>
      </c>
    </row>
    <row r="29" spans="3:9" ht="25.5" x14ac:dyDescent="0.2">
      <c r="C29" s="207"/>
      <c r="D29" s="79" t="s">
        <v>62</v>
      </c>
      <c r="E29" s="41">
        <v>1.5232000000000001</v>
      </c>
      <c r="F29" s="41">
        <v>1.3797999999999999</v>
      </c>
      <c r="G29" s="41">
        <v>1.2413000000000001</v>
      </c>
      <c r="H29" s="41" t="s">
        <v>126</v>
      </c>
      <c r="I29" s="41">
        <v>1.3540000000000001</v>
      </c>
    </row>
    <row r="30" spans="3:9" ht="38.25" x14ac:dyDescent="0.2">
      <c r="C30" s="207"/>
      <c r="D30" s="79" t="s">
        <v>63</v>
      </c>
      <c r="E30" s="41">
        <v>0.63370000000000004</v>
      </c>
      <c r="F30" s="41">
        <v>0.89770000000000005</v>
      </c>
      <c r="G30" s="41">
        <v>0.87350000000000005</v>
      </c>
      <c r="H30" s="41" t="s">
        <v>126</v>
      </c>
      <c r="I30" s="41">
        <v>0.75800000000000001</v>
      </c>
    </row>
    <row r="31" spans="3:9" ht="38.25" x14ac:dyDescent="0.2">
      <c r="C31" s="207"/>
      <c r="D31" s="79" t="s">
        <v>64</v>
      </c>
      <c r="E31" s="41" t="s">
        <v>125</v>
      </c>
      <c r="F31" s="41" t="s">
        <v>125</v>
      </c>
      <c r="G31" s="41" t="s">
        <v>125</v>
      </c>
      <c r="H31" s="41" t="s">
        <v>126</v>
      </c>
      <c r="I31" s="41">
        <v>1.1499999999999999</v>
      </c>
    </row>
    <row r="32" spans="3:9" ht="38.25" x14ac:dyDescent="0.2">
      <c r="C32" s="207"/>
      <c r="D32" s="79" t="s">
        <v>65</v>
      </c>
      <c r="E32" s="41" t="s">
        <v>125</v>
      </c>
      <c r="F32" s="41" t="s">
        <v>125</v>
      </c>
      <c r="G32" s="41" t="s">
        <v>125</v>
      </c>
      <c r="H32" s="41" t="s">
        <v>126</v>
      </c>
      <c r="I32" s="41">
        <v>1.601</v>
      </c>
    </row>
    <row r="33" spans="3:9" ht="25.5" x14ac:dyDescent="0.2">
      <c r="C33" s="207"/>
      <c r="D33" s="79" t="s">
        <v>66</v>
      </c>
      <c r="E33" s="41" t="s">
        <v>125</v>
      </c>
      <c r="F33" s="41" t="s">
        <v>125</v>
      </c>
      <c r="G33" s="41" t="s">
        <v>125</v>
      </c>
      <c r="H33" s="41" t="s">
        <v>126</v>
      </c>
      <c r="I33" s="41">
        <v>0.80300000000000005</v>
      </c>
    </row>
    <row r="34" spans="3:9" ht="25.5" x14ac:dyDescent="0.2">
      <c r="C34" s="207"/>
      <c r="D34" s="79" t="s">
        <v>67</v>
      </c>
      <c r="E34" s="41" t="s">
        <v>125</v>
      </c>
      <c r="F34" s="41">
        <v>1.5190999999999999</v>
      </c>
      <c r="G34" s="41" t="s">
        <v>125</v>
      </c>
      <c r="H34" s="41" t="s">
        <v>126</v>
      </c>
      <c r="I34" s="41" t="s">
        <v>125</v>
      </c>
    </row>
    <row r="35" spans="3:9" ht="38.25" x14ac:dyDescent="0.2">
      <c r="C35" s="207"/>
      <c r="D35" s="79" t="s">
        <v>68</v>
      </c>
      <c r="E35" s="41" t="s">
        <v>125</v>
      </c>
      <c r="F35" s="41">
        <v>0.68740000000000001</v>
      </c>
      <c r="G35" s="41" t="s">
        <v>125</v>
      </c>
      <c r="H35" s="41" t="s">
        <v>126</v>
      </c>
      <c r="I35" s="41" t="s">
        <v>125</v>
      </c>
    </row>
    <row r="36" spans="3:9" ht="25.5" x14ac:dyDescent="0.2">
      <c r="C36" s="207"/>
      <c r="D36" s="79" t="s">
        <v>69</v>
      </c>
      <c r="E36" s="41" t="s">
        <v>125</v>
      </c>
      <c r="F36" s="41" t="s">
        <v>125</v>
      </c>
      <c r="G36" s="41">
        <v>1.1828000000000001</v>
      </c>
      <c r="H36" s="41" t="s">
        <v>126</v>
      </c>
      <c r="I36" s="41" t="s">
        <v>125</v>
      </c>
    </row>
    <row r="37" spans="3:9" ht="38.25" x14ac:dyDescent="0.2">
      <c r="C37" s="207"/>
      <c r="D37" s="79" t="s">
        <v>70</v>
      </c>
      <c r="E37" s="41" t="s">
        <v>125</v>
      </c>
      <c r="F37" s="41" t="s">
        <v>125</v>
      </c>
      <c r="G37" s="41">
        <v>0.81269999999999998</v>
      </c>
      <c r="H37" s="41" t="s">
        <v>126</v>
      </c>
      <c r="I37" s="41" t="s">
        <v>125</v>
      </c>
    </row>
    <row r="38" spans="3:9" x14ac:dyDescent="0.2">
      <c r="C38" s="207"/>
      <c r="D38" s="79" t="s">
        <v>71</v>
      </c>
      <c r="E38" s="41">
        <v>1.0567</v>
      </c>
      <c r="F38" s="41" t="s">
        <v>125</v>
      </c>
      <c r="G38" s="41" t="s">
        <v>125</v>
      </c>
      <c r="H38" s="41" t="s">
        <v>126</v>
      </c>
      <c r="I38" s="41" t="s">
        <v>125</v>
      </c>
    </row>
    <row r="39" spans="3:9" ht="25.5" x14ac:dyDescent="0.2">
      <c r="C39" s="207"/>
      <c r="D39" s="79" t="s">
        <v>72</v>
      </c>
      <c r="E39" s="41">
        <v>1.3236000000000001</v>
      </c>
      <c r="F39" s="41" t="s">
        <v>125</v>
      </c>
      <c r="G39" s="41" t="s">
        <v>125</v>
      </c>
      <c r="H39" s="41" t="s">
        <v>126</v>
      </c>
      <c r="I39" s="41" t="s">
        <v>125</v>
      </c>
    </row>
    <row r="40" spans="3:9" ht="38.25" x14ac:dyDescent="0.2">
      <c r="C40" s="207"/>
      <c r="D40" s="79" t="s">
        <v>73</v>
      </c>
      <c r="E40" s="41">
        <v>0.60680000000000001</v>
      </c>
      <c r="F40" s="41" t="s">
        <v>125</v>
      </c>
      <c r="G40" s="41" t="s">
        <v>125</v>
      </c>
      <c r="H40" s="41" t="s">
        <v>126</v>
      </c>
      <c r="I40" s="41" t="s">
        <v>125</v>
      </c>
    </row>
    <row r="41" spans="3:9" ht="15" x14ac:dyDescent="0.2">
      <c r="C41" s="208" t="s">
        <v>185</v>
      </c>
      <c r="D41" s="209"/>
      <c r="E41" s="209"/>
      <c r="F41" s="209"/>
      <c r="G41" s="209"/>
      <c r="H41" s="209"/>
      <c r="I41" s="210"/>
    </row>
    <row r="42" spans="3:9" x14ac:dyDescent="0.2">
      <c r="C42" s="76"/>
      <c r="D42" s="76"/>
      <c r="E42" s="77" t="s">
        <v>55</v>
      </c>
      <c r="F42" s="77" t="s">
        <v>56</v>
      </c>
      <c r="G42" s="77" t="s">
        <v>57</v>
      </c>
      <c r="H42" s="77" t="s">
        <v>58</v>
      </c>
      <c r="I42" s="77" t="s">
        <v>9</v>
      </c>
    </row>
    <row r="43" spans="3:9" ht="38.25" customHeight="1" x14ac:dyDescent="0.2">
      <c r="C43" s="211" t="s">
        <v>114</v>
      </c>
      <c r="D43" s="79" t="s">
        <v>11</v>
      </c>
      <c r="E43" s="41">
        <v>0.74380000000000002</v>
      </c>
      <c r="F43" s="41">
        <v>0.74139999999999995</v>
      </c>
      <c r="G43" s="41">
        <v>0.74409999999999998</v>
      </c>
      <c r="H43" s="42" t="s">
        <v>126</v>
      </c>
      <c r="I43" s="41">
        <v>0.74250000000000005</v>
      </c>
    </row>
    <row r="44" spans="3:9" ht="25.5" x14ac:dyDescent="0.2">
      <c r="C44" s="212"/>
      <c r="D44" s="79" t="s">
        <v>60</v>
      </c>
      <c r="E44" s="41">
        <v>0.90900000000000003</v>
      </c>
      <c r="F44" s="41">
        <v>0.86399999999999999</v>
      </c>
      <c r="G44" s="41">
        <v>0.84619999999999995</v>
      </c>
      <c r="H44" s="42" t="s">
        <v>126</v>
      </c>
      <c r="I44" s="41">
        <v>0.92700000000000005</v>
      </c>
    </row>
    <row r="45" spans="3:9" ht="12.75" customHeight="1" x14ac:dyDescent="0.2">
      <c r="C45" s="212"/>
      <c r="D45" s="79" t="s">
        <v>61</v>
      </c>
      <c r="E45" s="41">
        <v>0.45710000000000001</v>
      </c>
      <c r="F45" s="41">
        <v>0.56000000000000005</v>
      </c>
      <c r="G45" s="41">
        <v>0.53559999999999997</v>
      </c>
      <c r="H45" s="42" t="s">
        <v>126</v>
      </c>
      <c r="I45" s="41">
        <v>0.47599999999999998</v>
      </c>
    </row>
    <row r="46" spans="3:9" ht="25.5" x14ac:dyDescent="0.2">
      <c r="C46" s="212"/>
      <c r="D46" s="79" t="s">
        <v>62</v>
      </c>
      <c r="E46" s="41">
        <v>1.0256000000000001</v>
      </c>
      <c r="F46" s="41">
        <v>0.90390000000000004</v>
      </c>
      <c r="G46" s="41">
        <v>0.87509999999999999</v>
      </c>
      <c r="H46" s="42" t="s">
        <v>126</v>
      </c>
      <c r="I46" s="41">
        <v>1.1379999999999999</v>
      </c>
    </row>
    <row r="47" spans="3:9" ht="38.25" x14ac:dyDescent="0.2">
      <c r="C47" s="212"/>
      <c r="D47" s="79" t="s">
        <v>63</v>
      </c>
      <c r="E47" s="41">
        <v>0.47610000000000002</v>
      </c>
      <c r="F47" s="41">
        <v>0.58799999999999997</v>
      </c>
      <c r="G47" s="41">
        <v>0.61580000000000001</v>
      </c>
      <c r="H47" s="42" t="s">
        <v>126</v>
      </c>
      <c r="I47" s="41">
        <v>0.47599999999999998</v>
      </c>
    </row>
    <row r="48" spans="3:9" ht="38.25" x14ac:dyDescent="0.2">
      <c r="C48" s="212"/>
      <c r="D48" s="79" t="s">
        <v>64</v>
      </c>
      <c r="E48" s="41" t="s">
        <v>125</v>
      </c>
      <c r="F48" s="41" t="s">
        <v>125</v>
      </c>
      <c r="G48" s="41" t="s">
        <v>125</v>
      </c>
      <c r="H48" s="42" t="s">
        <v>126</v>
      </c>
      <c r="I48" s="41">
        <v>0.84599999999999997</v>
      </c>
    </row>
    <row r="49" spans="3:9" ht="38.25" x14ac:dyDescent="0.2">
      <c r="C49" s="212"/>
      <c r="D49" s="79" t="s">
        <v>65</v>
      </c>
      <c r="E49" s="41" t="s">
        <v>125</v>
      </c>
      <c r="F49" s="41" t="s">
        <v>125</v>
      </c>
      <c r="G49" s="41" t="s">
        <v>125</v>
      </c>
      <c r="H49" s="42" t="s">
        <v>126</v>
      </c>
      <c r="I49" s="41">
        <v>1.3089999999999999</v>
      </c>
    </row>
    <row r="50" spans="3:9" ht="25.5" x14ac:dyDescent="0.2">
      <c r="C50" s="212"/>
      <c r="D50" s="79" t="s">
        <v>66</v>
      </c>
      <c r="E50" s="41" t="s">
        <v>125</v>
      </c>
      <c r="F50" s="41" t="s">
        <v>125</v>
      </c>
      <c r="G50" s="41" t="s">
        <v>125</v>
      </c>
      <c r="H50" s="42" t="s">
        <v>126</v>
      </c>
      <c r="I50" s="41">
        <v>0.56000000000000005</v>
      </c>
    </row>
    <row r="51" spans="3:9" ht="25.5" x14ac:dyDescent="0.2">
      <c r="C51" s="212"/>
      <c r="D51" s="79" t="s">
        <v>67</v>
      </c>
      <c r="E51" s="41" t="s">
        <v>125</v>
      </c>
      <c r="F51" s="41">
        <v>0.99509999999999998</v>
      </c>
      <c r="G51" s="41" t="s">
        <v>125</v>
      </c>
      <c r="H51" s="42" t="s">
        <v>126</v>
      </c>
      <c r="I51" s="41" t="s">
        <v>125</v>
      </c>
    </row>
    <row r="52" spans="3:9" ht="38.25" x14ac:dyDescent="0.2">
      <c r="C52" s="212"/>
      <c r="D52" s="79" t="s">
        <v>68</v>
      </c>
      <c r="E52" s="41" t="s">
        <v>125</v>
      </c>
      <c r="F52" s="41">
        <v>0.45029999999999998</v>
      </c>
      <c r="G52" s="41" t="s">
        <v>125</v>
      </c>
      <c r="H52" s="42" t="s">
        <v>126</v>
      </c>
      <c r="I52" s="41" t="s">
        <v>125</v>
      </c>
    </row>
    <row r="53" spans="3:9" ht="25.5" x14ac:dyDescent="0.2">
      <c r="C53" s="212"/>
      <c r="D53" s="79" t="s">
        <v>69</v>
      </c>
      <c r="E53" s="41" t="s">
        <v>125</v>
      </c>
      <c r="F53" s="41" t="s">
        <v>125</v>
      </c>
      <c r="G53" s="41">
        <v>0.83860000000000001</v>
      </c>
      <c r="H53" s="42" t="s">
        <v>126</v>
      </c>
      <c r="I53" s="41" t="s">
        <v>125</v>
      </c>
    </row>
    <row r="54" spans="3:9" ht="25.5" customHeight="1" x14ac:dyDescent="0.2">
      <c r="C54" s="212"/>
      <c r="D54" s="79" t="s">
        <v>70</v>
      </c>
      <c r="E54" s="41" t="s">
        <v>125</v>
      </c>
      <c r="F54" s="41" t="s">
        <v>125</v>
      </c>
      <c r="G54" s="41">
        <v>0.57699999999999996</v>
      </c>
      <c r="H54" s="42" t="s">
        <v>126</v>
      </c>
      <c r="I54" s="41" t="s">
        <v>125</v>
      </c>
    </row>
    <row r="55" spans="3:9" x14ac:dyDescent="0.2">
      <c r="C55" s="212"/>
      <c r="D55" s="79" t="s">
        <v>71</v>
      </c>
      <c r="E55" s="41">
        <v>0.74380000000000002</v>
      </c>
      <c r="F55" s="41" t="s">
        <v>125</v>
      </c>
      <c r="G55" s="41" t="s">
        <v>125</v>
      </c>
      <c r="H55" s="42" t="s">
        <v>126</v>
      </c>
      <c r="I55" s="41" t="s">
        <v>125</v>
      </c>
    </row>
    <row r="56" spans="3:9" ht="25.5" x14ac:dyDescent="0.2">
      <c r="C56" s="212"/>
      <c r="D56" s="79" t="s">
        <v>72</v>
      </c>
      <c r="E56" s="41">
        <v>0.90900000000000003</v>
      </c>
      <c r="F56" s="41" t="s">
        <v>125</v>
      </c>
      <c r="G56" s="41" t="s">
        <v>125</v>
      </c>
      <c r="H56" s="42" t="s">
        <v>126</v>
      </c>
      <c r="I56" s="41" t="s">
        <v>125</v>
      </c>
    </row>
    <row r="57" spans="3:9" ht="38.25" x14ac:dyDescent="0.2">
      <c r="C57" s="206"/>
      <c r="D57" s="79" t="s">
        <v>73</v>
      </c>
      <c r="E57" s="41">
        <v>0.45710000000000001</v>
      </c>
      <c r="F57" s="41" t="s">
        <v>125</v>
      </c>
      <c r="G57" s="41" t="s">
        <v>125</v>
      </c>
      <c r="H57" s="42" t="s">
        <v>126</v>
      </c>
      <c r="I57" s="41" t="s">
        <v>125</v>
      </c>
    </row>
    <row r="58" spans="3:9" ht="38.25" x14ac:dyDescent="0.2">
      <c r="D58" s="79" t="s">
        <v>191</v>
      </c>
      <c r="E58" s="41">
        <v>0.5</v>
      </c>
      <c r="F58" s="41">
        <v>0.5</v>
      </c>
      <c r="G58" s="41">
        <v>0.5</v>
      </c>
      <c r="H58" s="41">
        <v>0.5</v>
      </c>
      <c r="I58" s="41">
        <v>0.5</v>
      </c>
    </row>
  </sheetData>
  <sheetProtection algorithmName="SHA-512" hashValue="gvj47NFIEhVaIEjcLE4kFJAxU+LxCgSwVsovKFB4owM9P0U/nAZ+LSjcDJx4SPrVYGjH5/44pYBR4UZQiFOosQ==" saltValue="CcNw5vBjm/16G4BWURhjgA==" spinCount="100000" sheet="1" objects="1" scenarios="1"/>
  <mergeCells count="7">
    <mergeCell ref="C25:C40"/>
    <mergeCell ref="C7:C22"/>
    <mergeCell ref="C4:I4"/>
    <mergeCell ref="C43:C57"/>
    <mergeCell ref="C41:I41"/>
    <mergeCell ref="C23:I23"/>
    <mergeCell ref="C5:I5"/>
  </mergeCells>
  <dataValidations count="1">
    <dataValidation type="decimal" allowBlank="1" showInputMessage="1" showErrorMessage="1" sqref="I43:I58 I25:I33 E38:E40 F34:F35 G36:G37 E25:G30 E43:G57 E7:G22 I7:I22 E58:H58" xr:uid="{F2BAD29E-277B-4664-9261-6A439EF9E0C3}">
      <formula1>-100000000000000</formula1>
      <formula2>100000000000000</formula2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7DE74-6D7B-40F2-A8C5-4E8BDB23722A}">
  <dimension ref="C3:H57"/>
  <sheetViews>
    <sheetView workbookViewId="0">
      <selection activeCell="C3" sqref="C3:H3"/>
    </sheetView>
  </sheetViews>
  <sheetFormatPr defaultColWidth="11.7109375" defaultRowHeight="12.75" x14ac:dyDescent="0.2"/>
  <cols>
    <col min="3" max="3" width="25.7109375" style="80" customWidth="1"/>
    <col min="4" max="8" width="11.7109375" style="80"/>
  </cols>
  <sheetData>
    <row r="3" spans="3:8" ht="36" customHeight="1" x14ac:dyDescent="0.2">
      <c r="C3" s="164" t="s">
        <v>188</v>
      </c>
      <c r="D3" s="164"/>
      <c r="E3" s="164"/>
      <c r="F3" s="164"/>
      <c r="G3" s="164"/>
      <c r="H3" s="164"/>
    </row>
    <row r="4" spans="3:8" ht="15.75" customHeight="1" x14ac:dyDescent="0.2">
      <c r="C4" s="164" t="s">
        <v>132</v>
      </c>
      <c r="D4" s="164"/>
      <c r="E4" s="164"/>
      <c r="F4" s="164"/>
      <c r="G4" s="164"/>
      <c r="H4" s="164"/>
    </row>
    <row r="5" spans="3:8" ht="15.75" customHeight="1" x14ac:dyDescent="0.2">
      <c r="C5" s="84"/>
      <c r="D5" s="84" t="s">
        <v>55</v>
      </c>
      <c r="E5" s="84" t="s">
        <v>56</v>
      </c>
      <c r="F5" s="84" t="s">
        <v>57</v>
      </c>
      <c r="G5" s="84" t="s">
        <v>58</v>
      </c>
      <c r="H5" s="84" t="s">
        <v>9</v>
      </c>
    </row>
    <row r="6" spans="3:8" ht="15.75" customHeight="1" x14ac:dyDescent="0.2">
      <c r="C6" s="86" t="s">
        <v>11</v>
      </c>
      <c r="D6" s="82">
        <v>0.17449999999999999</v>
      </c>
      <c r="E6" s="82">
        <v>0.24399999999999999</v>
      </c>
      <c r="F6" s="82">
        <v>0.2223</v>
      </c>
      <c r="G6" s="82">
        <v>0.1459</v>
      </c>
      <c r="H6" s="82">
        <v>0.18240000000000001</v>
      </c>
    </row>
    <row r="7" spans="3:8" ht="15.75" customHeight="1" x14ac:dyDescent="0.2">
      <c r="C7" s="86" t="s">
        <v>60</v>
      </c>
      <c r="D7" s="82">
        <v>0.1978</v>
      </c>
      <c r="E7" s="82">
        <v>0.26910000000000001</v>
      </c>
      <c r="F7" s="82">
        <v>0.25700000000000001</v>
      </c>
      <c r="G7" s="82">
        <v>0.15859999999999999</v>
      </c>
      <c r="H7" s="82">
        <v>0.19689999999999999</v>
      </c>
    </row>
    <row r="8" spans="3:8" ht="15.75" customHeight="1" x14ac:dyDescent="0.2">
      <c r="C8" s="86" t="s">
        <v>61</v>
      </c>
      <c r="D8" s="82">
        <v>6.5100000000000005E-2</v>
      </c>
      <c r="E8" s="82">
        <v>5.8200000000000002E-2</v>
      </c>
      <c r="F8" s="82">
        <v>4.9599999999999998E-2</v>
      </c>
      <c r="G8" s="82">
        <v>3.4500000000000003E-2</v>
      </c>
      <c r="H8" s="82">
        <v>5.16E-2</v>
      </c>
    </row>
    <row r="9" spans="3:8" ht="15.75" customHeight="1" x14ac:dyDescent="0.2">
      <c r="C9" s="86" t="s">
        <v>62</v>
      </c>
      <c r="D9" s="82">
        <v>0.19209999999999999</v>
      </c>
      <c r="E9" s="82">
        <v>0.2823</v>
      </c>
      <c r="F9" s="82">
        <v>0.2722</v>
      </c>
      <c r="G9" s="82">
        <v>0.16020000000000001</v>
      </c>
      <c r="H9" s="82">
        <v>0.22720000000000001</v>
      </c>
    </row>
    <row r="10" spans="3:8" ht="15.75" customHeight="1" x14ac:dyDescent="0.2">
      <c r="C10" s="86" t="s">
        <v>63</v>
      </c>
      <c r="D10" s="82">
        <v>5.79E-2</v>
      </c>
      <c r="E10" s="82">
        <v>5.9499999999999997E-2</v>
      </c>
      <c r="F10" s="82">
        <v>5.4100000000000002E-2</v>
      </c>
      <c r="G10" s="82">
        <v>6.7299999999999999E-2</v>
      </c>
      <c r="H10" s="82">
        <v>3.73E-2</v>
      </c>
    </row>
    <row r="11" spans="3:8" ht="15.75" customHeight="1" x14ac:dyDescent="0.2">
      <c r="C11" s="86" t="s">
        <v>74</v>
      </c>
      <c r="D11" s="82">
        <v>0.17449999999999999</v>
      </c>
      <c r="E11" s="82">
        <v>0.24399999999999999</v>
      </c>
      <c r="F11" s="82">
        <v>0.2223</v>
      </c>
      <c r="G11" s="82">
        <v>0.1459</v>
      </c>
      <c r="H11" s="82">
        <v>0.18240000000000001</v>
      </c>
    </row>
    <row r="12" spans="3:8" ht="15.75" customHeight="1" x14ac:dyDescent="0.2">
      <c r="C12" s="86" t="s">
        <v>75</v>
      </c>
      <c r="D12" s="82">
        <v>0.17449999999999999</v>
      </c>
      <c r="E12" s="82">
        <v>0.24399999999999999</v>
      </c>
      <c r="F12" s="82">
        <v>0.2223</v>
      </c>
      <c r="G12" s="82">
        <v>0.1459</v>
      </c>
      <c r="H12" s="82">
        <v>0.18240000000000001</v>
      </c>
    </row>
    <row r="13" spans="3:8" ht="15.75" customHeight="1" x14ac:dyDescent="0.2">
      <c r="C13" s="86" t="s">
        <v>64</v>
      </c>
      <c r="D13" s="82" t="s">
        <v>125</v>
      </c>
      <c r="E13" s="82" t="s">
        <v>125</v>
      </c>
      <c r="F13" s="82" t="s">
        <v>125</v>
      </c>
      <c r="G13" s="82" t="s">
        <v>125</v>
      </c>
      <c r="H13" s="82">
        <v>0.1361</v>
      </c>
    </row>
    <row r="14" spans="3:8" ht="15.75" customHeight="1" x14ac:dyDescent="0.2">
      <c r="C14" s="86" t="s">
        <v>65</v>
      </c>
      <c r="D14" s="82" t="s">
        <v>125</v>
      </c>
      <c r="E14" s="82" t="s">
        <v>125</v>
      </c>
      <c r="F14" s="82" t="s">
        <v>125</v>
      </c>
      <c r="G14" s="82" t="s">
        <v>125</v>
      </c>
      <c r="H14" s="82">
        <v>0.24079999999999999</v>
      </c>
    </row>
    <row r="15" spans="3:8" ht="15.75" customHeight="1" x14ac:dyDescent="0.2">
      <c r="C15" s="86" t="s">
        <v>66</v>
      </c>
      <c r="D15" s="82" t="s">
        <v>125</v>
      </c>
      <c r="E15" s="82" t="s">
        <v>125</v>
      </c>
      <c r="F15" s="82" t="s">
        <v>125</v>
      </c>
      <c r="G15" s="82" t="s">
        <v>125</v>
      </c>
      <c r="H15" s="82">
        <v>2.53E-2</v>
      </c>
    </row>
    <row r="16" spans="3:8" ht="15.75" customHeight="1" x14ac:dyDescent="0.2">
      <c r="C16" s="86" t="s">
        <v>69</v>
      </c>
      <c r="D16" s="82" t="s">
        <v>125</v>
      </c>
      <c r="E16" s="82" t="s">
        <v>125</v>
      </c>
      <c r="F16" s="82">
        <v>0.22239999999999999</v>
      </c>
      <c r="G16" s="82" t="s">
        <v>125</v>
      </c>
      <c r="H16" s="82" t="s">
        <v>125</v>
      </c>
    </row>
    <row r="17" spans="3:8" ht="15.75" customHeight="1" x14ac:dyDescent="0.2">
      <c r="C17" s="86" t="s">
        <v>70</v>
      </c>
      <c r="D17" s="82" t="s">
        <v>125</v>
      </c>
      <c r="E17" s="82" t="s">
        <v>125</v>
      </c>
      <c r="F17" s="82">
        <v>3.9899999999999998E-2</v>
      </c>
      <c r="G17" s="82" t="s">
        <v>125</v>
      </c>
      <c r="H17" s="82" t="s">
        <v>125</v>
      </c>
    </row>
    <row r="18" spans="3:8" ht="15.75" customHeight="1" x14ac:dyDescent="0.2">
      <c r="C18" s="86" t="s">
        <v>71</v>
      </c>
      <c r="D18" s="82">
        <v>0.17449999999999999</v>
      </c>
      <c r="E18" s="82" t="s">
        <v>125</v>
      </c>
      <c r="F18" s="82" t="s">
        <v>125</v>
      </c>
      <c r="G18" s="82" t="s">
        <v>125</v>
      </c>
      <c r="H18" s="82" t="s">
        <v>125</v>
      </c>
    </row>
    <row r="19" spans="3:8" ht="15.75" customHeight="1" x14ac:dyDescent="0.2">
      <c r="C19" s="86" t="s">
        <v>72</v>
      </c>
      <c r="D19" s="82">
        <v>0.1978</v>
      </c>
      <c r="E19" s="82" t="s">
        <v>125</v>
      </c>
      <c r="F19" s="82" t="s">
        <v>125</v>
      </c>
      <c r="G19" s="82" t="s">
        <v>125</v>
      </c>
      <c r="H19" s="82" t="s">
        <v>125</v>
      </c>
    </row>
    <row r="20" spans="3:8" ht="15.75" customHeight="1" x14ac:dyDescent="0.2">
      <c r="C20" s="86" t="s">
        <v>73</v>
      </c>
      <c r="D20" s="82">
        <v>6.5100000000000005E-2</v>
      </c>
      <c r="E20" s="82" t="s">
        <v>125</v>
      </c>
      <c r="F20" s="82" t="s">
        <v>125</v>
      </c>
      <c r="G20" s="82" t="s">
        <v>125</v>
      </c>
      <c r="H20" s="82" t="s">
        <v>125</v>
      </c>
    </row>
    <row r="21" spans="3:8" ht="15" x14ac:dyDescent="0.2">
      <c r="C21" s="164" t="s">
        <v>131</v>
      </c>
      <c r="D21" s="164"/>
      <c r="E21" s="164"/>
      <c r="F21" s="164"/>
      <c r="G21" s="164"/>
      <c r="H21" s="164"/>
    </row>
    <row r="22" spans="3:8" x14ac:dyDescent="0.2">
      <c r="C22" s="84"/>
      <c r="D22" s="84" t="s">
        <v>55</v>
      </c>
      <c r="E22" s="84" t="s">
        <v>56</v>
      </c>
      <c r="F22" s="84" t="s">
        <v>57</v>
      </c>
      <c r="G22" s="84" t="s">
        <v>58</v>
      </c>
      <c r="H22" s="84" t="s">
        <v>9</v>
      </c>
    </row>
    <row r="23" spans="3:8" x14ac:dyDescent="0.2">
      <c r="C23" s="84" t="s">
        <v>11</v>
      </c>
      <c r="D23" s="81">
        <v>0.26910000000000001</v>
      </c>
      <c r="E23" s="81">
        <v>0.35299999999999998</v>
      </c>
      <c r="F23" s="81">
        <v>0.3488</v>
      </c>
      <c r="G23" s="81">
        <v>0.22439999999999999</v>
      </c>
      <c r="H23" s="81">
        <v>0.27200000000000002</v>
      </c>
    </row>
    <row r="24" spans="3:8" ht="16.5" customHeight="1" x14ac:dyDescent="0.2">
      <c r="C24" s="84" t="s">
        <v>60</v>
      </c>
      <c r="D24" s="81">
        <v>0.30499999999999999</v>
      </c>
      <c r="E24" s="81">
        <v>0.38940000000000002</v>
      </c>
      <c r="F24" s="81">
        <v>0.4032</v>
      </c>
      <c r="G24" s="81">
        <v>0.24390000000000001</v>
      </c>
      <c r="H24" s="81">
        <v>0.31169999999999998</v>
      </c>
    </row>
    <row r="25" spans="3:8" ht="16.5" customHeight="1" x14ac:dyDescent="0.2">
      <c r="C25" s="84" t="s">
        <v>61</v>
      </c>
      <c r="D25" s="81">
        <v>0.1004</v>
      </c>
      <c r="E25" s="81">
        <v>8.4199999999999997E-2</v>
      </c>
      <c r="F25" s="81">
        <v>7.7700000000000005E-2</v>
      </c>
      <c r="G25" s="81">
        <v>5.3100000000000001E-2</v>
      </c>
      <c r="H25" s="81">
        <v>7.7399999999999997E-2</v>
      </c>
    </row>
    <row r="26" spans="3:8" ht="16.5" customHeight="1" x14ac:dyDescent="0.2">
      <c r="C26" s="84" t="s">
        <v>62</v>
      </c>
      <c r="D26" s="81">
        <v>0.29620000000000002</v>
      </c>
      <c r="E26" s="81">
        <v>0.40820000000000001</v>
      </c>
      <c r="F26" s="81">
        <v>0.42730000000000001</v>
      </c>
      <c r="G26" s="81">
        <v>0.24640000000000001</v>
      </c>
      <c r="H26" s="81">
        <v>0.35210000000000002</v>
      </c>
    </row>
    <row r="27" spans="3:8" ht="16.5" customHeight="1" x14ac:dyDescent="0.2">
      <c r="C27" s="84" t="s">
        <v>63</v>
      </c>
      <c r="D27" s="81">
        <v>8.9300000000000004E-2</v>
      </c>
      <c r="E27" s="81">
        <v>8.5999999999999993E-2</v>
      </c>
      <c r="F27" s="81">
        <v>8.5000000000000006E-2</v>
      </c>
      <c r="G27" s="81">
        <v>0.10349999999999999</v>
      </c>
      <c r="H27" s="81">
        <v>5.8000000000000003E-2</v>
      </c>
    </row>
    <row r="28" spans="3:8" ht="16.5" customHeight="1" x14ac:dyDescent="0.2">
      <c r="C28" s="84" t="s">
        <v>74</v>
      </c>
      <c r="D28" s="81">
        <v>0.26910000000000001</v>
      </c>
      <c r="E28" s="81">
        <v>0.35299999999999998</v>
      </c>
      <c r="F28" s="81">
        <v>3.44E-2</v>
      </c>
      <c r="G28" s="81">
        <v>0.22439999999999999</v>
      </c>
      <c r="H28" s="81">
        <v>0.27200000000000002</v>
      </c>
    </row>
    <row r="29" spans="3:8" ht="16.5" customHeight="1" x14ac:dyDescent="0.2">
      <c r="C29" s="84" t="s">
        <v>75</v>
      </c>
      <c r="D29" s="81">
        <v>0.26910000000000001</v>
      </c>
      <c r="E29" s="81">
        <v>0.35299999999999998</v>
      </c>
      <c r="F29" s="81">
        <v>0.3488</v>
      </c>
      <c r="G29" s="81">
        <v>0.22439999999999999</v>
      </c>
      <c r="H29" s="81">
        <v>0.27200000000000002</v>
      </c>
    </row>
    <row r="30" spans="3:8" ht="16.5" customHeight="1" x14ac:dyDescent="0.2">
      <c r="C30" s="84" t="s">
        <v>64</v>
      </c>
      <c r="D30" s="81" t="s">
        <v>125</v>
      </c>
      <c r="E30" s="81" t="s">
        <v>125</v>
      </c>
      <c r="F30" s="81" t="s">
        <v>125</v>
      </c>
      <c r="G30" s="81" t="s">
        <v>125</v>
      </c>
      <c r="H30" s="81">
        <v>0.20419999999999999</v>
      </c>
    </row>
    <row r="31" spans="3:8" ht="16.5" customHeight="1" x14ac:dyDescent="0.2">
      <c r="C31" s="84" t="s">
        <v>65</v>
      </c>
      <c r="D31" s="81" t="s">
        <v>125</v>
      </c>
      <c r="E31" s="81" t="s">
        <v>125</v>
      </c>
      <c r="F31" s="81" t="s">
        <v>125</v>
      </c>
      <c r="G31" s="81" t="s">
        <v>125</v>
      </c>
      <c r="H31" s="81">
        <v>0.36130000000000001</v>
      </c>
    </row>
    <row r="32" spans="3:8" ht="16.5" customHeight="1" x14ac:dyDescent="0.2">
      <c r="C32" s="84" t="s">
        <v>66</v>
      </c>
      <c r="D32" s="81" t="s">
        <v>125</v>
      </c>
      <c r="E32" s="81" t="s">
        <v>125</v>
      </c>
      <c r="F32" s="81" t="s">
        <v>125</v>
      </c>
      <c r="G32" s="81" t="s">
        <v>125</v>
      </c>
      <c r="H32" s="81">
        <v>3.78E-2</v>
      </c>
    </row>
    <row r="33" spans="3:8" ht="16.5" customHeight="1" x14ac:dyDescent="0.2">
      <c r="C33" s="84" t="s">
        <v>69</v>
      </c>
      <c r="D33" s="81" t="s">
        <v>125</v>
      </c>
      <c r="E33" s="81" t="s">
        <v>125</v>
      </c>
      <c r="F33" s="81">
        <v>0.34899999999999998</v>
      </c>
      <c r="G33" s="81" t="s">
        <v>125</v>
      </c>
      <c r="H33" s="81" t="s">
        <v>125</v>
      </c>
    </row>
    <row r="34" spans="3:8" ht="16.5" customHeight="1" x14ac:dyDescent="0.2">
      <c r="C34" s="84" t="s">
        <v>70</v>
      </c>
      <c r="D34" s="81" t="s">
        <v>125</v>
      </c>
      <c r="E34" s="81" t="s">
        <v>125</v>
      </c>
      <c r="F34" s="81">
        <v>6.13E-2</v>
      </c>
      <c r="G34" s="81" t="s">
        <v>125</v>
      </c>
      <c r="H34" s="81" t="s">
        <v>125</v>
      </c>
    </row>
    <row r="35" spans="3:8" ht="16.5" customHeight="1" x14ac:dyDescent="0.2">
      <c r="C35" s="84" t="s">
        <v>71</v>
      </c>
      <c r="D35" s="81">
        <v>0.26910000000000001</v>
      </c>
      <c r="E35" s="81" t="s">
        <v>125</v>
      </c>
      <c r="F35" s="81" t="s">
        <v>125</v>
      </c>
      <c r="G35" s="81" t="s">
        <v>125</v>
      </c>
      <c r="H35" s="81" t="s">
        <v>125</v>
      </c>
    </row>
    <row r="36" spans="3:8" ht="16.5" customHeight="1" x14ac:dyDescent="0.2">
      <c r="C36" s="84" t="s">
        <v>72</v>
      </c>
      <c r="D36" s="81">
        <v>0.30499999999999999</v>
      </c>
      <c r="E36" s="81" t="s">
        <v>125</v>
      </c>
      <c r="F36" s="81" t="s">
        <v>125</v>
      </c>
      <c r="G36" s="81" t="s">
        <v>125</v>
      </c>
      <c r="H36" s="81" t="s">
        <v>125</v>
      </c>
    </row>
    <row r="37" spans="3:8" ht="16.5" customHeight="1" x14ac:dyDescent="0.2">
      <c r="C37" s="84" t="s">
        <v>73</v>
      </c>
      <c r="D37" s="81">
        <v>0.1004</v>
      </c>
      <c r="E37" s="81" t="s">
        <v>125</v>
      </c>
      <c r="F37" s="81" t="s">
        <v>125</v>
      </c>
      <c r="G37" s="81" t="s">
        <v>125</v>
      </c>
      <c r="H37" s="81" t="s">
        <v>125</v>
      </c>
    </row>
    <row r="38" spans="3:8" ht="16.5" customHeight="1" x14ac:dyDescent="0.2">
      <c r="C38" s="164" t="s">
        <v>131</v>
      </c>
      <c r="D38" s="164"/>
      <c r="E38" s="164"/>
      <c r="F38" s="164"/>
      <c r="G38" s="164"/>
      <c r="H38" s="164"/>
    </row>
    <row r="39" spans="3:8" x14ac:dyDescent="0.2">
      <c r="C39" s="84"/>
      <c r="D39" s="84" t="s">
        <v>55</v>
      </c>
      <c r="E39" s="84" t="s">
        <v>56</v>
      </c>
      <c r="F39" s="84" t="s">
        <v>57</v>
      </c>
      <c r="G39" s="84" t="s">
        <v>58</v>
      </c>
      <c r="H39" s="84" t="s">
        <v>9</v>
      </c>
    </row>
    <row r="40" spans="3:8" ht="25.5" customHeight="1" x14ac:dyDescent="0.2">
      <c r="C40" s="86" t="s">
        <v>11</v>
      </c>
      <c r="D40" s="138">
        <v>0.24859999999999999</v>
      </c>
      <c r="E40" s="138">
        <v>0.34689999999999999</v>
      </c>
      <c r="F40" s="138">
        <v>0.35</v>
      </c>
      <c r="G40" s="138">
        <v>0.22439999999999999</v>
      </c>
      <c r="H40" s="138">
        <v>0.25729999999999997</v>
      </c>
    </row>
    <row r="41" spans="3:8" x14ac:dyDescent="0.2">
      <c r="C41" s="86" t="s">
        <v>60</v>
      </c>
      <c r="D41" s="138">
        <v>0.28170000000000001</v>
      </c>
      <c r="E41" s="138">
        <v>0.38269999999999998</v>
      </c>
      <c r="F41" s="138">
        <v>0.40500000000000003</v>
      </c>
      <c r="G41" s="138">
        <v>0.24390000000000001</v>
      </c>
      <c r="H41" s="138">
        <v>0.29339999999999999</v>
      </c>
    </row>
    <row r="42" spans="3:8" x14ac:dyDescent="0.2">
      <c r="C42" s="86" t="s">
        <v>61</v>
      </c>
      <c r="D42" s="138">
        <v>9.2700000000000005E-2</v>
      </c>
      <c r="E42" s="138">
        <v>8.2699999999999996E-2</v>
      </c>
      <c r="F42" s="138">
        <v>7.8E-2</v>
      </c>
      <c r="G42" s="138">
        <v>5.3100000000000001E-2</v>
      </c>
      <c r="H42" s="138">
        <v>6.1800000000000001E-2</v>
      </c>
    </row>
    <row r="43" spans="3:8" ht="14.25" customHeight="1" x14ac:dyDescent="0.2">
      <c r="C43" s="86" t="s">
        <v>62</v>
      </c>
      <c r="D43" s="138">
        <v>0.27360000000000001</v>
      </c>
      <c r="E43" s="138">
        <v>0.40110000000000001</v>
      </c>
      <c r="F43" s="138">
        <v>0.43099999999999999</v>
      </c>
      <c r="G43" s="138">
        <v>0.24640000000000001</v>
      </c>
      <c r="H43" s="138">
        <v>0.33139999999999997</v>
      </c>
    </row>
    <row r="44" spans="3:8" ht="14.25" customHeight="1" x14ac:dyDescent="0.2">
      <c r="C44" s="86" t="s">
        <v>63</v>
      </c>
      <c r="D44" s="138">
        <v>8.2500000000000004E-2</v>
      </c>
      <c r="E44" s="138">
        <v>8.4500000000000006E-2</v>
      </c>
      <c r="F44" s="138">
        <v>8.5999999999999993E-2</v>
      </c>
      <c r="G44" s="138">
        <v>0.10349999999999999</v>
      </c>
      <c r="H44" s="138">
        <v>5.2699999999999997E-2</v>
      </c>
    </row>
    <row r="45" spans="3:8" ht="14.25" customHeight="1" x14ac:dyDescent="0.2">
      <c r="C45" s="86" t="s">
        <v>74</v>
      </c>
      <c r="D45" s="138">
        <v>0.24859999999999999</v>
      </c>
      <c r="E45" s="138">
        <v>0.34689999999999999</v>
      </c>
      <c r="F45" s="138">
        <v>0.35</v>
      </c>
      <c r="G45" s="138">
        <v>0.22439999999999999</v>
      </c>
      <c r="H45" s="138">
        <v>0.25729999999999997</v>
      </c>
    </row>
    <row r="46" spans="3:8" ht="14.25" customHeight="1" x14ac:dyDescent="0.2">
      <c r="C46" s="86" t="s">
        <v>75</v>
      </c>
      <c r="D46" s="138">
        <v>0.24859999999999999</v>
      </c>
      <c r="E46" s="138">
        <v>0.34689999999999999</v>
      </c>
      <c r="F46" s="138">
        <v>0.35</v>
      </c>
      <c r="G46" s="138">
        <v>0.22439999999999999</v>
      </c>
      <c r="H46" s="138">
        <v>0.25729999999999997</v>
      </c>
    </row>
    <row r="47" spans="3:8" ht="14.25" customHeight="1" x14ac:dyDescent="0.2">
      <c r="C47" s="86" t="s">
        <v>64</v>
      </c>
      <c r="D47" s="138" t="s">
        <v>125</v>
      </c>
      <c r="E47" s="138" t="s">
        <v>125</v>
      </c>
      <c r="F47" s="138" t="s">
        <v>125</v>
      </c>
      <c r="G47" s="138" t="s">
        <v>125</v>
      </c>
      <c r="H47" s="138">
        <v>0.1361</v>
      </c>
    </row>
    <row r="48" spans="3:8" ht="14.25" customHeight="1" x14ac:dyDescent="0.2">
      <c r="C48" s="86" t="s">
        <v>65</v>
      </c>
      <c r="D48" s="138" t="s">
        <v>125</v>
      </c>
      <c r="E48" s="138" t="s">
        <v>125</v>
      </c>
      <c r="F48" s="138" t="s">
        <v>125</v>
      </c>
      <c r="G48" s="138" t="s">
        <v>125</v>
      </c>
      <c r="H48" s="138">
        <v>0.24079999999999999</v>
      </c>
    </row>
    <row r="49" spans="3:8" ht="14.25" customHeight="1" x14ac:dyDescent="0.2">
      <c r="C49" s="86" t="s">
        <v>66</v>
      </c>
      <c r="D49" s="138" t="s">
        <v>125</v>
      </c>
      <c r="E49" s="138" t="s">
        <v>125</v>
      </c>
      <c r="F49" s="138" t="s">
        <v>125</v>
      </c>
      <c r="G49" s="138" t="s">
        <v>125</v>
      </c>
      <c r="H49" s="138">
        <v>2.53E-2</v>
      </c>
    </row>
    <row r="50" spans="3:8" ht="14.25" customHeight="1" x14ac:dyDescent="0.2">
      <c r="C50" s="86" t="s">
        <v>69</v>
      </c>
      <c r="D50" s="138" t="s">
        <v>125</v>
      </c>
      <c r="E50" s="138" t="s">
        <v>125</v>
      </c>
      <c r="F50" s="138">
        <v>0.35099999999999998</v>
      </c>
      <c r="G50" s="138" t="s">
        <v>125</v>
      </c>
      <c r="H50" s="138" t="s">
        <v>125</v>
      </c>
    </row>
    <row r="51" spans="3:8" ht="14.25" customHeight="1" x14ac:dyDescent="0.2">
      <c r="C51" s="86" t="s">
        <v>70</v>
      </c>
      <c r="D51" s="138" t="s">
        <v>125</v>
      </c>
      <c r="E51" s="138" t="s">
        <v>125</v>
      </c>
      <c r="F51" s="138">
        <v>6.1499999999999999E-2</v>
      </c>
      <c r="G51" s="138" t="s">
        <v>125</v>
      </c>
      <c r="H51" s="138" t="s">
        <v>125</v>
      </c>
    </row>
    <row r="52" spans="3:8" ht="14.25" customHeight="1" x14ac:dyDescent="0.2">
      <c r="C52" s="86" t="s">
        <v>71</v>
      </c>
      <c r="D52" s="138">
        <v>0.24859999999999999</v>
      </c>
      <c r="E52" s="138" t="s">
        <v>125</v>
      </c>
      <c r="F52" s="138" t="s">
        <v>125</v>
      </c>
      <c r="G52" s="138" t="s">
        <v>125</v>
      </c>
      <c r="H52" s="138" t="s">
        <v>125</v>
      </c>
    </row>
    <row r="53" spans="3:8" ht="14.25" customHeight="1" x14ac:dyDescent="0.2">
      <c r="C53" s="86" t="s">
        <v>72</v>
      </c>
      <c r="D53" s="138">
        <v>0.28170000000000001</v>
      </c>
      <c r="E53" s="138" t="s">
        <v>125</v>
      </c>
      <c r="F53" s="138" t="s">
        <v>125</v>
      </c>
      <c r="G53" s="138" t="s">
        <v>125</v>
      </c>
      <c r="H53" s="138" t="s">
        <v>125</v>
      </c>
    </row>
    <row r="54" spans="3:8" ht="14.25" customHeight="1" x14ac:dyDescent="0.2">
      <c r="C54" s="86" t="s">
        <v>73</v>
      </c>
      <c r="D54" s="138">
        <v>9.2700000000000005E-2</v>
      </c>
      <c r="E54" s="138" t="s">
        <v>125</v>
      </c>
      <c r="F54" s="138" t="s">
        <v>125</v>
      </c>
      <c r="G54" s="138" t="s">
        <v>125</v>
      </c>
      <c r="H54" s="138" t="s">
        <v>125</v>
      </c>
    </row>
    <row r="55" spans="3:8" ht="14.25" customHeight="1" x14ac:dyDescent="0.2"/>
    <row r="56" spans="3:8" ht="14.25" customHeight="1" x14ac:dyDescent="0.2"/>
    <row r="57" spans="3:8" ht="14.25" customHeight="1" x14ac:dyDescent="0.2"/>
  </sheetData>
  <sheetProtection algorithmName="SHA-512" hashValue="91PiLKTSNK4nwTaWpVzCSOnAt8hN/K3XLHy2U3Qc9p+ASbMbfbFrFo4LfxiYDbagveZcVeUNT9cODeKiGvl+dw==" saltValue="YiR554Af88j3moPoSLtAEQ==" spinCount="100000" sheet="1" objects="1" scenarios="1"/>
  <mergeCells count="4">
    <mergeCell ref="C21:H21"/>
    <mergeCell ref="C38:H38"/>
    <mergeCell ref="C3:H3"/>
    <mergeCell ref="C4:H4"/>
  </mergeCells>
  <dataValidations count="1">
    <dataValidation type="decimal" allowBlank="1" showInputMessage="1" showErrorMessage="1" sqref="D6:H20 D40:H54" xr:uid="{72A68A66-709B-4476-A417-5E5A1F48F6A6}">
      <formula1>-100000000000000</formula1>
      <formula2>100000000000000</formula2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B9819-E1FB-4EA3-8201-F573C8A95CE2}">
  <dimension ref="C3:H63"/>
  <sheetViews>
    <sheetView topLeftCell="B1" workbookViewId="0">
      <selection activeCell="C3" sqref="C3:H3"/>
    </sheetView>
  </sheetViews>
  <sheetFormatPr defaultColWidth="11.7109375" defaultRowHeight="12.75" x14ac:dyDescent="0.2"/>
  <cols>
    <col min="3" max="3" width="19.140625" style="87" customWidth="1"/>
    <col min="4" max="8" width="11.7109375" style="87"/>
  </cols>
  <sheetData>
    <row r="3" spans="3:8" ht="49.5" customHeight="1" x14ac:dyDescent="0.2">
      <c r="C3" s="208" t="s">
        <v>134</v>
      </c>
      <c r="D3" s="209"/>
      <c r="E3" s="209"/>
      <c r="F3" s="209"/>
      <c r="G3" s="209"/>
      <c r="H3" s="210"/>
    </row>
    <row r="4" spans="3:8" ht="49.5" customHeight="1" x14ac:dyDescent="0.2">
      <c r="C4" s="208" t="s">
        <v>132</v>
      </c>
      <c r="D4" s="209"/>
      <c r="E4" s="209"/>
      <c r="F4" s="209"/>
      <c r="G4" s="209"/>
      <c r="H4" s="210"/>
    </row>
    <row r="5" spans="3:8" x14ac:dyDescent="0.2">
      <c r="C5" s="84"/>
      <c r="D5" s="84" t="s">
        <v>55</v>
      </c>
      <c r="E5" s="84" t="s">
        <v>56</v>
      </c>
      <c r="F5" s="84" t="s">
        <v>57</v>
      </c>
      <c r="G5" s="84" t="s">
        <v>58</v>
      </c>
      <c r="H5" s="84" t="s">
        <v>9</v>
      </c>
    </row>
    <row r="6" spans="3:8" ht="12.75" customHeight="1" x14ac:dyDescent="0.2">
      <c r="C6" s="84" t="s">
        <v>76</v>
      </c>
      <c r="D6" s="81">
        <v>4.66</v>
      </c>
      <c r="E6" s="81">
        <v>5.26</v>
      </c>
      <c r="F6" s="81">
        <v>3.39</v>
      </c>
      <c r="G6" s="81">
        <v>7</v>
      </c>
      <c r="H6" s="81">
        <v>3.62</v>
      </c>
    </row>
    <row r="7" spans="3:8" x14ac:dyDescent="0.2">
      <c r="C7" s="84" t="s">
        <v>77</v>
      </c>
      <c r="D7" s="81">
        <v>6.51</v>
      </c>
      <c r="E7" s="81">
        <v>7.91</v>
      </c>
      <c r="F7" s="81">
        <v>6.56</v>
      </c>
      <c r="G7" s="81">
        <v>11.32</v>
      </c>
      <c r="H7" s="81">
        <v>6.43</v>
      </c>
    </row>
    <row r="8" spans="3:8" x14ac:dyDescent="0.2">
      <c r="C8" s="84" t="s">
        <v>78</v>
      </c>
      <c r="D8" s="81">
        <v>6</v>
      </c>
      <c r="E8" s="81">
        <v>9.64</v>
      </c>
      <c r="F8" s="81">
        <v>5.16</v>
      </c>
      <c r="G8" s="81">
        <v>7</v>
      </c>
      <c r="H8" s="81">
        <v>5.28</v>
      </c>
    </row>
    <row r="9" spans="3:8" x14ac:dyDescent="0.2">
      <c r="C9" s="84" t="s">
        <v>79</v>
      </c>
      <c r="D9" s="81">
        <v>9.11</v>
      </c>
      <c r="E9" s="81">
        <v>13.55</v>
      </c>
      <c r="F9" s="81">
        <v>9.25</v>
      </c>
      <c r="G9" s="81">
        <v>11.32</v>
      </c>
      <c r="H9" s="81">
        <v>7.95</v>
      </c>
    </row>
    <row r="10" spans="3:8" x14ac:dyDescent="0.2">
      <c r="C10" s="84" t="s">
        <v>80</v>
      </c>
      <c r="D10" s="81">
        <v>10.54</v>
      </c>
      <c r="E10" s="81">
        <v>9.64</v>
      </c>
      <c r="F10" s="81">
        <v>5.5</v>
      </c>
      <c r="G10" s="81">
        <v>7</v>
      </c>
      <c r="H10" s="81">
        <v>5.28</v>
      </c>
    </row>
    <row r="11" spans="3:8" x14ac:dyDescent="0.2">
      <c r="C11" s="84" t="s">
        <v>81</v>
      </c>
      <c r="D11" s="81">
        <v>15.76</v>
      </c>
      <c r="E11" s="81">
        <v>13.55</v>
      </c>
      <c r="F11" s="81">
        <v>9.83</v>
      </c>
      <c r="G11" s="81">
        <v>11.32</v>
      </c>
      <c r="H11" s="81">
        <v>7.95</v>
      </c>
    </row>
    <row r="12" spans="3:8" x14ac:dyDescent="0.2">
      <c r="C12" s="84" t="s">
        <v>82</v>
      </c>
      <c r="D12" s="81">
        <v>9.32</v>
      </c>
      <c r="E12" s="81">
        <v>10.52</v>
      </c>
      <c r="F12" s="81">
        <v>6.78</v>
      </c>
      <c r="G12" s="81">
        <v>14</v>
      </c>
      <c r="H12" s="81">
        <v>7.64</v>
      </c>
    </row>
    <row r="13" spans="3:8" x14ac:dyDescent="0.2">
      <c r="C13" s="84" t="s">
        <v>83</v>
      </c>
      <c r="D13" s="81">
        <v>13.02</v>
      </c>
      <c r="E13" s="81">
        <v>15.82</v>
      </c>
      <c r="F13" s="81">
        <v>13.12</v>
      </c>
      <c r="G13" s="81">
        <v>22.64</v>
      </c>
      <c r="H13" s="81">
        <v>12.88</v>
      </c>
    </row>
    <row r="14" spans="3:8" x14ac:dyDescent="0.2">
      <c r="C14" s="84" t="s">
        <v>84</v>
      </c>
      <c r="D14" s="81">
        <v>4.66</v>
      </c>
      <c r="E14" s="81" t="s">
        <v>125</v>
      </c>
      <c r="F14" s="81" t="s">
        <v>125</v>
      </c>
      <c r="G14" s="81" t="s">
        <v>125</v>
      </c>
      <c r="H14" s="81" t="s">
        <v>125</v>
      </c>
    </row>
    <row r="15" spans="3:8" x14ac:dyDescent="0.2">
      <c r="C15" s="84" t="s">
        <v>85</v>
      </c>
      <c r="D15" s="81">
        <v>6.51</v>
      </c>
      <c r="E15" s="81" t="s">
        <v>125</v>
      </c>
      <c r="F15" s="81" t="s">
        <v>125</v>
      </c>
      <c r="G15" s="81" t="s">
        <v>125</v>
      </c>
      <c r="H15" s="81" t="s">
        <v>125</v>
      </c>
    </row>
    <row r="16" spans="3:8" x14ac:dyDescent="0.2">
      <c r="C16" s="84" t="s">
        <v>86</v>
      </c>
      <c r="D16" s="81">
        <v>6</v>
      </c>
      <c r="E16" s="81" t="s">
        <v>125</v>
      </c>
      <c r="F16" s="81" t="s">
        <v>125</v>
      </c>
      <c r="G16" s="81" t="s">
        <v>125</v>
      </c>
      <c r="H16" s="81" t="s">
        <v>125</v>
      </c>
    </row>
    <row r="17" spans="3:8" x14ac:dyDescent="0.2">
      <c r="C17" s="84" t="s">
        <v>87</v>
      </c>
      <c r="D17" s="81">
        <v>9.11</v>
      </c>
      <c r="E17" s="81" t="s">
        <v>125</v>
      </c>
      <c r="F17" s="81" t="s">
        <v>125</v>
      </c>
      <c r="G17" s="81" t="s">
        <v>125</v>
      </c>
      <c r="H17" s="81" t="s">
        <v>125</v>
      </c>
    </row>
    <row r="18" spans="3:8" x14ac:dyDescent="0.2">
      <c r="C18" s="84" t="s">
        <v>88</v>
      </c>
      <c r="D18" s="81" t="s">
        <v>125</v>
      </c>
      <c r="E18" s="81">
        <v>9.64</v>
      </c>
      <c r="F18" s="81" t="s">
        <v>125</v>
      </c>
      <c r="G18" s="81" t="s">
        <v>125</v>
      </c>
      <c r="H18" s="81" t="s">
        <v>125</v>
      </c>
    </row>
    <row r="19" spans="3:8" x14ac:dyDescent="0.2">
      <c r="C19" s="84" t="s">
        <v>89</v>
      </c>
      <c r="D19" s="81" t="s">
        <v>125</v>
      </c>
      <c r="E19" s="81">
        <v>13.55</v>
      </c>
      <c r="F19" s="81" t="s">
        <v>125</v>
      </c>
      <c r="G19" s="81" t="s">
        <v>125</v>
      </c>
      <c r="H19" s="81" t="s">
        <v>125</v>
      </c>
    </row>
    <row r="20" spans="3:8" x14ac:dyDescent="0.2">
      <c r="C20" s="84" t="s">
        <v>90</v>
      </c>
      <c r="D20" s="81" t="s">
        <v>125</v>
      </c>
      <c r="E20" s="81" t="s">
        <v>125</v>
      </c>
      <c r="F20" s="81">
        <v>5.16</v>
      </c>
      <c r="G20" s="81" t="s">
        <v>125</v>
      </c>
      <c r="H20" s="81" t="s">
        <v>125</v>
      </c>
    </row>
    <row r="21" spans="3:8" x14ac:dyDescent="0.2">
      <c r="C21" s="84" t="s">
        <v>91</v>
      </c>
      <c r="D21" s="81" t="s">
        <v>125</v>
      </c>
      <c r="E21" s="81" t="s">
        <v>125</v>
      </c>
      <c r="F21" s="81">
        <v>9.25</v>
      </c>
      <c r="G21" s="81" t="s">
        <v>125</v>
      </c>
      <c r="H21" s="81" t="s">
        <v>125</v>
      </c>
    </row>
    <row r="22" spans="3:8" x14ac:dyDescent="0.2">
      <c r="C22" s="84" t="s">
        <v>92</v>
      </c>
      <c r="D22" s="81" t="s">
        <v>125</v>
      </c>
      <c r="E22" s="81" t="s">
        <v>125</v>
      </c>
      <c r="F22" s="81" t="s">
        <v>125</v>
      </c>
      <c r="G22" s="81" t="s">
        <v>125</v>
      </c>
      <c r="H22" s="81">
        <v>5.28</v>
      </c>
    </row>
    <row r="23" spans="3:8" x14ac:dyDescent="0.2">
      <c r="C23" s="84" t="s">
        <v>93</v>
      </c>
      <c r="D23" s="81" t="s">
        <v>125</v>
      </c>
      <c r="E23" s="81" t="s">
        <v>125</v>
      </c>
      <c r="F23" s="81" t="s">
        <v>125</v>
      </c>
      <c r="G23" s="81" t="s">
        <v>125</v>
      </c>
      <c r="H23" s="81">
        <v>7.95</v>
      </c>
    </row>
    <row r="24" spans="3:8" ht="22.5" customHeight="1" x14ac:dyDescent="0.2">
      <c r="C24" s="208" t="s">
        <v>131</v>
      </c>
      <c r="D24" s="209"/>
      <c r="E24" s="209"/>
      <c r="F24" s="209"/>
      <c r="G24" s="209"/>
      <c r="H24" s="210"/>
    </row>
    <row r="25" spans="3:8" x14ac:dyDescent="0.2">
      <c r="C25" s="85"/>
      <c r="D25" s="84" t="s">
        <v>55</v>
      </c>
      <c r="E25" s="84" t="s">
        <v>56</v>
      </c>
      <c r="F25" s="84" t="s">
        <v>57</v>
      </c>
      <c r="G25" s="84" t="s">
        <v>58</v>
      </c>
      <c r="H25" s="84" t="s">
        <v>9</v>
      </c>
    </row>
    <row r="26" spans="3:8" x14ac:dyDescent="0.2">
      <c r="C26" s="84" t="s">
        <v>76</v>
      </c>
      <c r="D26" s="81">
        <v>7.25</v>
      </c>
      <c r="E26" s="81">
        <v>7.68</v>
      </c>
      <c r="F26" s="81">
        <v>5.5</v>
      </c>
      <c r="G26" s="81">
        <v>10.84</v>
      </c>
      <c r="H26" s="81">
        <v>6.12</v>
      </c>
    </row>
    <row r="27" spans="3:8" x14ac:dyDescent="0.2">
      <c r="C27" s="84" t="s">
        <v>77</v>
      </c>
      <c r="D27" s="81">
        <v>10.14</v>
      </c>
      <c r="E27" s="81">
        <v>11.54</v>
      </c>
      <c r="F27" s="81">
        <v>9.99</v>
      </c>
      <c r="G27" s="81">
        <v>17.53</v>
      </c>
      <c r="H27" s="81">
        <v>10.3</v>
      </c>
    </row>
    <row r="28" spans="3:8" x14ac:dyDescent="0.2">
      <c r="C28" s="84" t="s">
        <v>78</v>
      </c>
      <c r="D28" s="81">
        <v>9.34</v>
      </c>
      <c r="E28" s="81">
        <v>14.07</v>
      </c>
      <c r="F28" s="81">
        <v>8.5</v>
      </c>
      <c r="G28" s="81">
        <v>10.84</v>
      </c>
      <c r="H28" s="81">
        <v>7.9</v>
      </c>
    </row>
    <row r="29" spans="3:8" ht="12.75" customHeight="1" x14ac:dyDescent="0.2">
      <c r="C29" s="84" t="s">
        <v>79</v>
      </c>
      <c r="D29" s="81">
        <v>14.18</v>
      </c>
      <c r="E29" s="81">
        <v>19.77</v>
      </c>
      <c r="F29" s="81">
        <v>14.4</v>
      </c>
      <c r="G29" s="81">
        <v>17.53</v>
      </c>
      <c r="H29" s="81">
        <v>11.92</v>
      </c>
    </row>
    <row r="30" spans="3:8" x14ac:dyDescent="0.2">
      <c r="C30" s="84" t="s">
        <v>80</v>
      </c>
      <c r="D30" s="81">
        <v>16.41</v>
      </c>
      <c r="E30" s="81">
        <v>14.07</v>
      </c>
      <c r="F30" s="81">
        <v>9.15</v>
      </c>
      <c r="G30" s="81">
        <v>10.84</v>
      </c>
      <c r="H30" s="81">
        <v>7.9</v>
      </c>
    </row>
    <row r="31" spans="3:8" x14ac:dyDescent="0.2">
      <c r="C31" s="84" t="s">
        <v>81</v>
      </c>
      <c r="D31" s="81">
        <v>24.54</v>
      </c>
      <c r="E31" s="81">
        <v>19.77</v>
      </c>
      <c r="F31" s="81">
        <v>14.98</v>
      </c>
      <c r="G31" s="81">
        <v>17.53</v>
      </c>
      <c r="H31" s="81">
        <v>11.92</v>
      </c>
    </row>
    <row r="32" spans="3:8" x14ac:dyDescent="0.2">
      <c r="C32" s="84" t="s">
        <v>82</v>
      </c>
      <c r="D32" s="81">
        <v>14.5</v>
      </c>
      <c r="E32" s="81">
        <v>15.36</v>
      </c>
      <c r="F32" s="81">
        <v>11</v>
      </c>
      <c r="G32" s="81">
        <v>21.68</v>
      </c>
      <c r="H32" s="81">
        <v>12.24</v>
      </c>
    </row>
    <row r="33" spans="3:8" x14ac:dyDescent="0.2">
      <c r="C33" s="84" t="s">
        <v>83</v>
      </c>
      <c r="D33" s="81">
        <v>20.28</v>
      </c>
      <c r="E33" s="81">
        <v>23.08</v>
      </c>
      <c r="F33" s="81">
        <v>19.98</v>
      </c>
      <c r="G33" s="81">
        <v>35.06</v>
      </c>
      <c r="H33" s="81">
        <v>20.6</v>
      </c>
    </row>
    <row r="34" spans="3:8" x14ac:dyDescent="0.2">
      <c r="C34" s="84" t="s">
        <v>84</v>
      </c>
      <c r="D34" s="81">
        <v>7.25</v>
      </c>
      <c r="E34" s="81" t="s">
        <v>125</v>
      </c>
      <c r="F34" s="81" t="s">
        <v>125</v>
      </c>
      <c r="G34" s="81" t="s">
        <v>125</v>
      </c>
      <c r="H34" s="81" t="s">
        <v>125</v>
      </c>
    </row>
    <row r="35" spans="3:8" x14ac:dyDescent="0.2">
      <c r="C35" s="84" t="s">
        <v>85</v>
      </c>
      <c r="D35" s="81">
        <v>10.14</v>
      </c>
      <c r="E35" s="81" t="s">
        <v>125</v>
      </c>
      <c r="F35" s="81" t="s">
        <v>125</v>
      </c>
      <c r="G35" s="81" t="s">
        <v>125</v>
      </c>
      <c r="H35" s="81" t="s">
        <v>125</v>
      </c>
    </row>
    <row r="36" spans="3:8" x14ac:dyDescent="0.2">
      <c r="C36" s="84" t="s">
        <v>86</v>
      </c>
      <c r="D36" s="81">
        <v>9.34</v>
      </c>
      <c r="E36" s="81" t="s">
        <v>125</v>
      </c>
      <c r="F36" s="81" t="s">
        <v>125</v>
      </c>
      <c r="G36" s="81" t="s">
        <v>125</v>
      </c>
      <c r="H36" s="81" t="s">
        <v>125</v>
      </c>
    </row>
    <row r="37" spans="3:8" x14ac:dyDescent="0.2">
      <c r="C37" s="84" t="s">
        <v>87</v>
      </c>
      <c r="D37" s="81">
        <v>14.18</v>
      </c>
      <c r="E37" s="81" t="s">
        <v>125</v>
      </c>
      <c r="F37" s="81" t="s">
        <v>125</v>
      </c>
      <c r="G37" s="81" t="s">
        <v>125</v>
      </c>
      <c r="H37" s="81" t="s">
        <v>125</v>
      </c>
    </row>
    <row r="38" spans="3:8" x14ac:dyDescent="0.2">
      <c r="C38" s="84" t="s">
        <v>88</v>
      </c>
      <c r="D38" s="81" t="s">
        <v>125</v>
      </c>
      <c r="E38" s="81">
        <v>14.07</v>
      </c>
      <c r="F38" s="81" t="s">
        <v>125</v>
      </c>
      <c r="G38" s="81" t="s">
        <v>125</v>
      </c>
      <c r="H38" s="81" t="s">
        <v>125</v>
      </c>
    </row>
    <row r="39" spans="3:8" x14ac:dyDescent="0.2">
      <c r="C39" s="84" t="s">
        <v>89</v>
      </c>
      <c r="D39" s="81" t="s">
        <v>125</v>
      </c>
      <c r="E39" s="81">
        <v>19.77</v>
      </c>
      <c r="F39" s="81" t="s">
        <v>125</v>
      </c>
      <c r="G39" s="81" t="s">
        <v>125</v>
      </c>
      <c r="H39" s="81" t="s">
        <v>125</v>
      </c>
    </row>
    <row r="40" spans="3:8" x14ac:dyDescent="0.2">
      <c r="C40" s="84" t="s">
        <v>90</v>
      </c>
      <c r="D40" s="81" t="s">
        <v>125</v>
      </c>
      <c r="E40" s="81" t="s">
        <v>125</v>
      </c>
      <c r="F40" s="81">
        <v>8.5</v>
      </c>
      <c r="G40" s="81" t="s">
        <v>125</v>
      </c>
      <c r="H40" s="81" t="s">
        <v>125</v>
      </c>
    </row>
    <row r="41" spans="3:8" x14ac:dyDescent="0.2">
      <c r="C41" s="84" t="s">
        <v>91</v>
      </c>
      <c r="D41" s="81" t="s">
        <v>125</v>
      </c>
      <c r="E41" s="81" t="s">
        <v>125</v>
      </c>
      <c r="F41" s="81">
        <v>14.4</v>
      </c>
      <c r="G41" s="81" t="s">
        <v>125</v>
      </c>
      <c r="H41" s="81" t="s">
        <v>125</v>
      </c>
    </row>
    <row r="42" spans="3:8" x14ac:dyDescent="0.2">
      <c r="C42" s="84" t="s">
        <v>92</v>
      </c>
      <c r="D42" s="81" t="s">
        <v>125</v>
      </c>
      <c r="E42" s="81" t="s">
        <v>125</v>
      </c>
      <c r="F42" s="81" t="s">
        <v>125</v>
      </c>
      <c r="G42" s="81" t="s">
        <v>125</v>
      </c>
      <c r="H42" s="81">
        <v>7.9</v>
      </c>
    </row>
    <row r="43" spans="3:8" x14ac:dyDescent="0.2">
      <c r="C43" s="84" t="s">
        <v>93</v>
      </c>
      <c r="D43" s="81" t="s">
        <v>125</v>
      </c>
      <c r="E43" s="81" t="s">
        <v>125</v>
      </c>
      <c r="F43" s="81" t="s">
        <v>125</v>
      </c>
      <c r="G43" s="81" t="s">
        <v>125</v>
      </c>
      <c r="H43" s="81">
        <v>11.92</v>
      </c>
    </row>
    <row r="44" spans="3:8" ht="27" customHeight="1" x14ac:dyDescent="0.2">
      <c r="C44" s="208" t="s">
        <v>110</v>
      </c>
      <c r="D44" s="209"/>
      <c r="E44" s="209"/>
      <c r="F44" s="209"/>
      <c r="G44" s="209"/>
      <c r="H44" s="210"/>
    </row>
    <row r="45" spans="3:8" x14ac:dyDescent="0.2">
      <c r="C45" s="89"/>
      <c r="D45" s="89" t="s">
        <v>55</v>
      </c>
      <c r="E45" s="89" t="s">
        <v>56</v>
      </c>
      <c r="F45" s="89" t="s">
        <v>57</v>
      </c>
      <c r="G45" s="89" t="s">
        <v>58</v>
      </c>
      <c r="H45" s="89" t="s">
        <v>9</v>
      </c>
    </row>
    <row r="46" spans="3:8" x14ac:dyDescent="0.2">
      <c r="C46" s="79" t="s">
        <v>76</v>
      </c>
      <c r="D46" s="139">
        <v>7.25</v>
      </c>
      <c r="E46" s="139">
        <v>7.68</v>
      </c>
      <c r="F46" s="139">
        <v>5.5</v>
      </c>
      <c r="G46" s="139">
        <v>10.95</v>
      </c>
      <c r="H46" s="139">
        <v>7.02</v>
      </c>
    </row>
    <row r="47" spans="3:8" x14ac:dyDescent="0.2">
      <c r="C47" s="79" t="s">
        <v>77</v>
      </c>
      <c r="D47" s="139">
        <v>10.14</v>
      </c>
      <c r="E47" s="139">
        <v>11.54</v>
      </c>
      <c r="F47" s="139">
        <v>9.99</v>
      </c>
      <c r="G47" s="139">
        <v>17.71</v>
      </c>
      <c r="H47" s="139">
        <v>10.34</v>
      </c>
    </row>
    <row r="48" spans="3:8" ht="25.5" x14ac:dyDescent="0.2">
      <c r="C48" s="79" t="s">
        <v>78</v>
      </c>
      <c r="D48" s="139">
        <v>9.34</v>
      </c>
      <c r="E48" s="139">
        <v>14.07</v>
      </c>
      <c r="F48" s="139">
        <v>8.5</v>
      </c>
      <c r="G48" s="139">
        <v>10.95</v>
      </c>
      <c r="H48" s="139">
        <v>7.02</v>
      </c>
    </row>
    <row r="49" spans="3:8" ht="12.75" customHeight="1" x14ac:dyDescent="0.2">
      <c r="C49" s="79" t="s">
        <v>79</v>
      </c>
      <c r="D49" s="139">
        <v>14.18</v>
      </c>
      <c r="E49" s="139">
        <v>19.77</v>
      </c>
      <c r="F49" s="139">
        <v>14.4</v>
      </c>
      <c r="G49" s="139">
        <v>17.71</v>
      </c>
      <c r="H49" s="139">
        <v>10.34</v>
      </c>
    </row>
    <row r="50" spans="3:8" ht="25.5" x14ac:dyDescent="0.2">
      <c r="C50" s="79" t="s">
        <v>80</v>
      </c>
      <c r="D50" s="139">
        <v>16.41</v>
      </c>
      <c r="E50" s="139">
        <v>14.07</v>
      </c>
      <c r="F50" s="139">
        <v>9.15</v>
      </c>
      <c r="G50" s="139">
        <v>10.95</v>
      </c>
      <c r="H50" s="139">
        <v>7.02</v>
      </c>
    </row>
    <row r="51" spans="3:8" x14ac:dyDescent="0.2">
      <c r="C51" s="79" t="s">
        <v>81</v>
      </c>
      <c r="D51" s="139">
        <v>24.54</v>
      </c>
      <c r="E51" s="139">
        <v>19.77</v>
      </c>
      <c r="F51" s="139">
        <v>14.98</v>
      </c>
      <c r="G51" s="139">
        <v>17.71</v>
      </c>
      <c r="H51" s="139">
        <v>10.34</v>
      </c>
    </row>
    <row r="52" spans="3:8" ht="25.5" x14ac:dyDescent="0.2">
      <c r="C52" s="79" t="s">
        <v>82</v>
      </c>
      <c r="D52" s="139">
        <v>14.5</v>
      </c>
      <c r="E52" s="139">
        <v>15.36</v>
      </c>
      <c r="F52" s="139">
        <v>11</v>
      </c>
      <c r="G52" s="139">
        <v>21.9</v>
      </c>
      <c r="H52" s="139">
        <v>14.04</v>
      </c>
    </row>
    <row r="53" spans="3:8" ht="25.5" x14ac:dyDescent="0.2">
      <c r="C53" s="79" t="s">
        <v>83</v>
      </c>
      <c r="D53" s="139">
        <v>20.28</v>
      </c>
      <c r="E53" s="139">
        <v>23.08</v>
      </c>
      <c r="F53" s="139">
        <v>19.98</v>
      </c>
      <c r="G53" s="139">
        <v>35.42</v>
      </c>
      <c r="H53" s="139">
        <v>20.68</v>
      </c>
    </row>
    <row r="54" spans="3:8" ht="25.5" x14ac:dyDescent="0.2">
      <c r="C54" s="79" t="s">
        <v>84</v>
      </c>
      <c r="D54" s="139">
        <v>7.25</v>
      </c>
      <c r="E54" s="139" t="s">
        <v>125</v>
      </c>
      <c r="F54" s="139" t="s">
        <v>125</v>
      </c>
      <c r="G54" s="139" t="s">
        <v>125</v>
      </c>
      <c r="H54" s="139" t="s">
        <v>125</v>
      </c>
    </row>
    <row r="55" spans="3:8" x14ac:dyDescent="0.2">
      <c r="C55" s="79" t="s">
        <v>85</v>
      </c>
      <c r="D55" s="139">
        <v>10.14</v>
      </c>
      <c r="E55" s="139" t="s">
        <v>125</v>
      </c>
      <c r="F55" s="139" t="s">
        <v>125</v>
      </c>
      <c r="G55" s="139" t="s">
        <v>125</v>
      </c>
      <c r="H55" s="139" t="s">
        <v>125</v>
      </c>
    </row>
    <row r="56" spans="3:8" ht="25.5" x14ac:dyDescent="0.2">
      <c r="C56" s="79" t="s">
        <v>86</v>
      </c>
      <c r="D56" s="139">
        <v>9.34</v>
      </c>
      <c r="E56" s="139" t="s">
        <v>125</v>
      </c>
      <c r="F56" s="139" t="s">
        <v>125</v>
      </c>
      <c r="G56" s="139" t="s">
        <v>125</v>
      </c>
      <c r="H56" s="139" t="s">
        <v>125</v>
      </c>
    </row>
    <row r="57" spans="3:8" x14ac:dyDescent="0.2">
      <c r="C57" s="79" t="s">
        <v>87</v>
      </c>
      <c r="D57" s="139">
        <v>14.18</v>
      </c>
      <c r="E57" s="139" t="s">
        <v>125</v>
      </c>
      <c r="F57" s="139" t="s">
        <v>125</v>
      </c>
      <c r="G57" s="139" t="s">
        <v>125</v>
      </c>
      <c r="H57" s="139" t="s">
        <v>125</v>
      </c>
    </row>
    <row r="58" spans="3:8" ht="25.5" x14ac:dyDescent="0.2">
      <c r="C58" s="79" t="s">
        <v>88</v>
      </c>
      <c r="D58" s="139" t="s">
        <v>125</v>
      </c>
      <c r="E58" s="139">
        <v>14.07</v>
      </c>
      <c r="F58" s="139" t="s">
        <v>125</v>
      </c>
      <c r="G58" s="139" t="s">
        <v>125</v>
      </c>
      <c r="H58" s="139" t="s">
        <v>125</v>
      </c>
    </row>
    <row r="59" spans="3:8" x14ac:dyDescent="0.2">
      <c r="C59" s="79" t="s">
        <v>89</v>
      </c>
      <c r="D59" s="139" t="s">
        <v>125</v>
      </c>
      <c r="E59" s="139">
        <v>19.77</v>
      </c>
      <c r="F59" s="139" t="s">
        <v>125</v>
      </c>
      <c r="G59" s="139" t="s">
        <v>125</v>
      </c>
      <c r="H59" s="139" t="s">
        <v>125</v>
      </c>
    </row>
    <row r="60" spans="3:8" ht="25.5" x14ac:dyDescent="0.2">
      <c r="C60" s="79" t="s">
        <v>90</v>
      </c>
      <c r="D60" s="139" t="s">
        <v>125</v>
      </c>
      <c r="E60" s="139" t="s">
        <v>125</v>
      </c>
      <c r="F60" s="139">
        <v>8.5</v>
      </c>
      <c r="G60" s="139" t="s">
        <v>125</v>
      </c>
      <c r="H60" s="139" t="s">
        <v>125</v>
      </c>
    </row>
    <row r="61" spans="3:8" x14ac:dyDescent="0.2">
      <c r="C61" s="79" t="s">
        <v>91</v>
      </c>
      <c r="D61" s="139" t="s">
        <v>125</v>
      </c>
      <c r="E61" s="139" t="s">
        <v>125</v>
      </c>
      <c r="F61" s="139">
        <v>14.4</v>
      </c>
      <c r="G61" s="139" t="s">
        <v>125</v>
      </c>
      <c r="H61" s="139" t="s">
        <v>125</v>
      </c>
    </row>
    <row r="62" spans="3:8" ht="25.5" x14ac:dyDescent="0.2">
      <c r="C62" s="79" t="s">
        <v>92</v>
      </c>
      <c r="D62" s="139" t="s">
        <v>125</v>
      </c>
      <c r="E62" s="139" t="s">
        <v>125</v>
      </c>
      <c r="F62" s="139" t="s">
        <v>125</v>
      </c>
      <c r="G62" s="139" t="s">
        <v>125</v>
      </c>
      <c r="H62" s="139">
        <v>7.02</v>
      </c>
    </row>
    <row r="63" spans="3:8" x14ac:dyDescent="0.2">
      <c r="C63" s="79" t="s">
        <v>93</v>
      </c>
      <c r="D63" s="139" t="s">
        <v>125</v>
      </c>
      <c r="E63" s="139" t="s">
        <v>125</v>
      </c>
      <c r="F63" s="139" t="s">
        <v>125</v>
      </c>
      <c r="G63" s="139" t="s">
        <v>125</v>
      </c>
      <c r="H63" s="139">
        <v>10.34</v>
      </c>
    </row>
  </sheetData>
  <sheetProtection algorithmName="SHA-512" hashValue="XLwc3CT+BZIwj/J3rFXDrVnxLaxi7/A9BZ03EsN5tTz3eNCv5OR68m0HhvJDJMq3kdzghgIGjKMo99LxG3m8rg==" saltValue="bt5eJSFL5ZUBmvUvY9cQcQ==" spinCount="100000" sheet="1" objects="1" scenarios="1"/>
  <mergeCells count="4">
    <mergeCell ref="C3:H3"/>
    <mergeCell ref="C4:H4"/>
    <mergeCell ref="C24:H24"/>
    <mergeCell ref="C44:H44"/>
  </mergeCells>
  <dataValidations count="1">
    <dataValidation type="decimal" allowBlank="1" showInputMessage="1" showErrorMessage="1" sqref="D46:H63" xr:uid="{BF9C3B09-F9A4-4737-8716-E4C49B7E7838}">
      <formula1>-100000000000000</formula1>
      <formula2>100000000000000</formula2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52C43-C044-4930-A381-36BC9B5A6F5A}">
  <dimension ref="C5:N28"/>
  <sheetViews>
    <sheetView workbookViewId="0">
      <selection activeCell="N11" sqref="N11"/>
    </sheetView>
  </sheetViews>
  <sheetFormatPr defaultColWidth="11.7109375" defaultRowHeight="12.75" x14ac:dyDescent="0.2"/>
  <cols>
    <col min="4" max="4" width="16.42578125" customWidth="1"/>
  </cols>
  <sheetData>
    <row r="5" spans="3:14" ht="30.75" customHeight="1" x14ac:dyDescent="0.2">
      <c r="C5" s="215" t="s">
        <v>133</v>
      </c>
      <c r="D5" s="216"/>
      <c r="E5" s="216"/>
      <c r="F5" s="216"/>
      <c r="G5" s="216"/>
      <c r="H5" s="216"/>
      <c r="I5" s="217"/>
    </row>
    <row r="6" spans="3:14" ht="26.25" customHeight="1" x14ac:dyDescent="0.2">
      <c r="C6" s="218"/>
      <c r="D6" s="219"/>
      <c r="E6" s="219"/>
      <c r="F6" s="219"/>
      <c r="G6" s="219"/>
      <c r="H6" s="219"/>
      <c r="I6" s="220"/>
    </row>
    <row r="7" spans="3:14" x14ac:dyDescent="0.2">
      <c r="C7" s="213"/>
      <c r="D7" s="84" t="s">
        <v>15</v>
      </c>
      <c r="E7" s="84" t="s">
        <v>55</v>
      </c>
      <c r="F7" s="84" t="s">
        <v>56</v>
      </c>
      <c r="G7" s="84" t="s">
        <v>57</v>
      </c>
      <c r="H7" s="84" t="s">
        <v>58</v>
      </c>
      <c r="I7" s="84" t="s">
        <v>9</v>
      </c>
    </row>
    <row r="8" spans="3:14" x14ac:dyDescent="0.2">
      <c r="C8" s="213"/>
      <c r="D8" s="86" t="s">
        <v>94</v>
      </c>
      <c r="E8" s="83">
        <v>3.84</v>
      </c>
      <c r="F8" s="83">
        <v>4.5599999999999996</v>
      </c>
      <c r="G8" s="83">
        <v>4.5</v>
      </c>
      <c r="H8" s="83">
        <v>2.88</v>
      </c>
      <c r="I8" s="83">
        <v>4.5599999999999996</v>
      </c>
      <c r="N8" s="6"/>
    </row>
    <row r="9" spans="3:14" x14ac:dyDescent="0.2">
      <c r="C9" s="213"/>
      <c r="D9" s="86" t="s">
        <v>16</v>
      </c>
      <c r="E9" s="83">
        <v>1.92</v>
      </c>
      <c r="F9" s="83">
        <v>2.2799999999999998</v>
      </c>
      <c r="G9" s="83">
        <v>2.25</v>
      </c>
      <c r="H9" s="83" t="s">
        <v>95</v>
      </c>
      <c r="I9" s="83">
        <v>2.2799999999999998</v>
      </c>
      <c r="N9" s="6"/>
    </row>
    <row r="10" spans="3:14" x14ac:dyDescent="0.2">
      <c r="C10" s="213"/>
      <c r="D10" s="86" t="s">
        <v>96</v>
      </c>
      <c r="E10" s="83">
        <v>0.64</v>
      </c>
      <c r="F10" s="83" t="s">
        <v>95</v>
      </c>
      <c r="G10" s="83">
        <v>0.75</v>
      </c>
      <c r="H10" s="83">
        <v>0.48</v>
      </c>
      <c r="I10" s="83">
        <v>0.76</v>
      </c>
      <c r="N10" s="6"/>
    </row>
    <row r="11" spans="3:14" x14ac:dyDescent="0.2">
      <c r="C11" s="213"/>
      <c r="D11" s="86" t="s">
        <v>97</v>
      </c>
      <c r="E11" s="83">
        <v>0.32</v>
      </c>
      <c r="F11" s="83" t="s">
        <v>95</v>
      </c>
      <c r="G11" s="83" t="s">
        <v>95</v>
      </c>
      <c r="H11" s="83">
        <v>0.24</v>
      </c>
      <c r="I11" s="83">
        <v>0.38</v>
      </c>
      <c r="N11" s="6"/>
    </row>
    <row r="12" spans="3:14" ht="25.5" x14ac:dyDescent="0.2">
      <c r="C12" s="213"/>
      <c r="D12" s="86" t="s">
        <v>98</v>
      </c>
      <c r="E12" s="83" t="s">
        <v>95</v>
      </c>
      <c r="F12" s="83">
        <v>0.74</v>
      </c>
      <c r="G12" s="83" t="s">
        <v>95</v>
      </c>
      <c r="H12" s="83" t="s">
        <v>95</v>
      </c>
      <c r="I12" s="83" t="s">
        <v>95</v>
      </c>
    </row>
    <row r="13" spans="3:14" ht="25.5" x14ac:dyDescent="0.2">
      <c r="C13" s="213"/>
      <c r="D13" s="86" t="s">
        <v>99</v>
      </c>
      <c r="E13" s="83" t="s">
        <v>95</v>
      </c>
      <c r="F13" s="83">
        <v>0.7</v>
      </c>
      <c r="G13" s="83" t="s">
        <v>95</v>
      </c>
      <c r="H13" s="83" t="s">
        <v>95</v>
      </c>
      <c r="I13" s="83" t="s">
        <v>95</v>
      </c>
    </row>
    <row r="14" spans="3:14" x14ac:dyDescent="0.2">
      <c r="C14" s="213"/>
      <c r="D14" s="86" t="s">
        <v>71</v>
      </c>
      <c r="E14" s="83">
        <v>0.16</v>
      </c>
      <c r="F14" s="83" t="s">
        <v>95</v>
      </c>
      <c r="G14" s="83" t="s">
        <v>95</v>
      </c>
      <c r="H14" s="83" t="s">
        <v>95</v>
      </c>
      <c r="I14" s="83" t="s">
        <v>95</v>
      </c>
    </row>
    <row r="15" spans="3:14" x14ac:dyDescent="0.2">
      <c r="C15" s="213"/>
      <c r="D15" s="86" t="s">
        <v>100</v>
      </c>
      <c r="E15" s="83">
        <v>0.16</v>
      </c>
      <c r="F15" s="83" t="s">
        <v>95</v>
      </c>
      <c r="G15" s="83" t="s">
        <v>95</v>
      </c>
      <c r="H15" s="83" t="s">
        <v>95</v>
      </c>
      <c r="I15" s="83" t="s">
        <v>95</v>
      </c>
    </row>
    <row r="20" spans="3:3" x14ac:dyDescent="0.2">
      <c r="C20" s="214"/>
    </row>
    <row r="21" spans="3:3" x14ac:dyDescent="0.2">
      <c r="C21" s="214"/>
    </row>
    <row r="22" spans="3:3" x14ac:dyDescent="0.2">
      <c r="C22" s="214"/>
    </row>
    <row r="23" spans="3:3" x14ac:dyDescent="0.2">
      <c r="C23" s="214"/>
    </row>
    <row r="24" spans="3:3" x14ac:dyDescent="0.2">
      <c r="C24" s="214"/>
    </row>
    <row r="25" spans="3:3" x14ac:dyDescent="0.2">
      <c r="C25" s="214"/>
    </row>
    <row r="26" spans="3:3" x14ac:dyDescent="0.2">
      <c r="C26" s="214"/>
    </row>
    <row r="27" spans="3:3" x14ac:dyDescent="0.2">
      <c r="C27" s="214"/>
    </row>
    <row r="28" spans="3:3" x14ac:dyDescent="0.2">
      <c r="C28" s="214"/>
    </row>
  </sheetData>
  <mergeCells count="3">
    <mergeCell ref="C7:C15"/>
    <mergeCell ref="C20:C28"/>
    <mergeCell ref="C5:I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D2:G8"/>
  <sheetViews>
    <sheetView zoomScaleNormal="100" workbookViewId="0">
      <selection activeCell="D2" sqref="D2:G3"/>
    </sheetView>
  </sheetViews>
  <sheetFormatPr defaultColWidth="11.7109375" defaultRowHeight="12.75" x14ac:dyDescent="0.2"/>
  <cols>
    <col min="5" max="5" width="21" customWidth="1"/>
    <col min="7" max="7" width="47.7109375" customWidth="1"/>
  </cols>
  <sheetData>
    <row r="2" spans="4:7" x14ac:dyDescent="0.2">
      <c r="D2" s="222" t="s">
        <v>101</v>
      </c>
      <c r="E2" s="222"/>
      <c r="F2" s="222"/>
      <c r="G2" s="222"/>
    </row>
    <row r="3" spans="4:7" x14ac:dyDescent="0.2">
      <c r="D3" s="222"/>
      <c r="E3" s="222"/>
      <c r="F3" s="222"/>
      <c r="G3" s="222"/>
    </row>
    <row r="4" spans="4:7" x14ac:dyDescent="0.2">
      <c r="D4" s="88"/>
      <c r="E4" s="88" t="s">
        <v>28</v>
      </c>
      <c r="F4" s="222" t="s">
        <v>102</v>
      </c>
      <c r="G4" s="222"/>
    </row>
    <row r="5" spans="4:7" x14ac:dyDescent="0.2">
      <c r="D5" s="88" t="s">
        <v>55</v>
      </c>
      <c r="E5" s="90">
        <v>0</v>
      </c>
      <c r="F5" s="221" t="s">
        <v>103</v>
      </c>
      <c r="G5" s="221"/>
    </row>
    <row r="6" spans="4:7" x14ac:dyDescent="0.2">
      <c r="D6" s="88" t="s">
        <v>56</v>
      </c>
      <c r="E6" s="90">
        <v>25</v>
      </c>
      <c r="F6" s="221" t="s">
        <v>104</v>
      </c>
      <c r="G6" s="221"/>
    </row>
    <row r="7" spans="4:7" x14ac:dyDescent="0.2">
      <c r="D7" s="88" t="s">
        <v>9</v>
      </c>
      <c r="E7" s="88" t="s">
        <v>105</v>
      </c>
      <c r="F7" s="221" t="s">
        <v>106</v>
      </c>
      <c r="G7" s="221"/>
    </row>
    <row r="8" spans="4:7" x14ac:dyDescent="0.2">
      <c r="D8" s="88" t="s">
        <v>57</v>
      </c>
      <c r="E8" s="90">
        <v>8.6999999999999993</v>
      </c>
      <c r="F8" s="221" t="s">
        <v>107</v>
      </c>
      <c r="G8" s="221"/>
    </row>
  </sheetData>
  <sheetProtection algorithmName="SHA-512" hashValue="q9S3qSPFKQqRrXG3oNcc+2ZcuKp90msp71J/D9y+yJpxX2Kksw/N0pdfCng5+Xf0q9oS41qFIUiDlYqDVfzUsg==" saltValue="9AiRfTdWTPQaqa5CfsAWgA==" spinCount="100000" sheet="1" objects="1" scenarios="1"/>
  <mergeCells count="6">
    <mergeCell ref="F8:G8"/>
    <mergeCell ref="D2:G3"/>
    <mergeCell ref="F4:G4"/>
    <mergeCell ref="F5:G5"/>
    <mergeCell ref="F6:G6"/>
    <mergeCell ref="F7:G7"/>
  </mergeCells>
  <hyperlinks>
    <hyperlink ref="F5" r:id="rId1" xr:uid="{00000000-0004-0000-0600-000000000000}"/>
    <hyperlink ref="F6" r:id="rId2" display="https://www.google.com/url?sa=t&amp;rct=j&amp;q=&amp;esrc=s&amp;source=web&amp;cd=&amp;cad=rja&amp;uact=8&amp;ved=2ahUKEwjKnt2Sx7z8AhXWUXcKHR8YDq0QFnoECAkQAQ&amp;url=https%3A%2F%2Fwww.energa.pl%2Fdam%2Fjcr%3Abd64664d-e899-4dd6-9b3c-e16d762fcc7d%2FRegulamin%2520Oferty%2520Podstawowej%25202023%2520obowi%25C4%2585zuj%25C4%2585cy%2520od%25201%2520lipca%25202022.pdf&amp;usg=AOvVaw3F5aKLStMQFwR31mN9ePze" xr:uid="{00000000-0004-0000-0600-000001000000}"/>
    <hyperlink ref="F7" r:id="rId3" display="https://www.google.com/url?sa=t&amp;rct=j&amp;q=&amp;esrc=s&amp;source=web&amp;cd=&amp;ved=2ahUKEwjjpbr-xbz8AhXN87sIHYbKBF0QFnoECBcQAQ&amp;url=https%3A%2F%2Fwww.tauron.pl%2F-%2Fmedia%2Fformularze-i-wnioski%2Fpdf%2Fwoz-pzo%2Fts%2Fts-gd-woz-wniosek-o-zawarcie-umowy-e.ashx&amp;usg=AOvVaw1cV458LIQxByaQtR_5XU-A" xr:uid="{00000000-0004-0000-0600-000002000000}"/>
    <hyperlink ref="F8" r:id="rId4" display="https://www.google.com/url?sa=t&amp;rct=j&amp;q=&amp;esrc=s&amp;source=web&amp;cd=&amp;cad=rja&amp;uact=8&amp;ved=2ahUKEwiGk-_9xLz8AhUf8LsIHSLkCAoQFnoECCIQAQ&amp;url=https%3A%2F%2Fwww.gkpge.pl%2Fcontent%2Fdownload%2F43ed98a0b92ebb379c4cd43bb38ee1fe%2Ffile%2FCennik%2520taryfowy%2520energii%2520elektrycznej%2520dla%2520Odbiorc%25C3%25B3w%2520z%2520grup%2520taryfowych%2520G%2C%2520spoza%2520obszaru%2520PGE%2520Dystrybucja%2520S.A.%2C%2520obowi%25C4%2585zuj%25C4%2585cy%2520od%25201.01.2023%2520r..pdf%3FinLanguage%3Dpol-PL%26version%3D3%26contentId%3D107982&amp;usg=AOvVaw1pmpT6R6QQic9YLNaVopkD" xr:uid="{00000000-0004-0000-0600-000003000000}"/>
  </hyperlink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Roman,Normalny"&amp;12&amp;Kffffff&amp;A</oddHeader>
    <oddFooter>&amp;C&amp;"Times New Roman,Normalny"&amp;12&amp;KffffffStrona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3535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Wyliczenia szczegółowe</vt:lpstr>
      <vt:lpstr>PotatOS</vt:lpstr>
      <vt:lpstr>Struktura rachunku</vt:lpstr>
      <vt:lpstr>Dane kontaktowe i źródła</vt:lpstr>
      <vt:lpstr>Koszt energii czynnej</vt:lpstr>
      <vt:lpstr>Składnik zmienny</vt:lpstr>
      <vt:lpstr>Składnik stały</vt:lpstr>
      <vt:lpstr>Opłata abonamentowa</vt:lpstr>
      <vt:lpstr>Opłaty handlowe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Radiatus_Wizus</dc:creator>
  <dc:description/>
  <cp:lastModifiedBy>Dawid Kaczmarczyk</cp:lastModifiedBy>
  <cp:revision>234</cp:revision>
  <dcterms:created xsi:type="dcterms:W3CDTF">2024-01-03T11:02:47Z</dcterms:created>
  <dcterms:modified xsi:type="dcterms:W3CDTF">2024-06-13T13:40:23Z</dcterms:modified>
  <dc:language>pl-PL</dc:language>
</cp:coreProperties>
</file>